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4000" windowHeight="9735" tabRatio="303" activeTab="1"/>
  </bookViews>
  <sheets>
    <sheet name="ORCA" sheetId="1" r:id="rId1"/>
    <sheet name="CFF" sheetId="2" r:id="rId2"/>
  </sheets>
  <definedNames>
    <definedName name="_xlnm.Print_Area" localSheetId="0">'ORCA'!$A$1:$G$87</definedName>
    <definedName name="_xlnm.Print_Titles" localSheetId="0">'ORCA'!$1:$9</definedName>
  </definedNames>
  <calcPr fullCalcOnLoad="1"/>
</workbook>
</file>

<file path=xl/sharedStrings.xml><?xml version="1.0" encoding="utf-8"?>
<sst xmlns="http://schemas.openxmlformats.org/spreadsheetml/2006/main" count="248" uniqueCount="128">
  <si>
    <t>ITEM</t>
  </si>
  <si>
    <t>1.2</t>
  </si>
  <si>
    <t>m²</t>
  </si>
  <si>
    <t>m³</t>
  </si>
  <si>
    <t>TOTAL</t>
  </si>
  <si>
    <t>DISCRIMINAÇÃO DOS SERVIÇOS</t>
  </si>
  <si>
    <t>UNID</t>
  </si>
  <si>
    <t>QUANT</t>
  </si>
  <si>
    <t xml:space="preserve">PROJETO : </t>
  </si>
  <si>
    <t>LOCAL: :</t>
  </si>
  <si>
    <t>2.1</t>
  </si>
  <si>
    <t>SERVIÇOS INICIAIS</t>
  </si>
  <si>
    <t>PREFEITURA MUNICIPAL DE TIMBÓ</t>
  </si>
  <si>
    <t>CRONOGRAMA FISICO E FINANCEIRO</t>
  </si>
  <si>
    <t>ETAPAS</t>
  </si>
  <si>
    <t>30 DIAS</t>
  </si>
  <si>
    <t>R$</t>
  </si>
  <si>
    <t>%</t>
  </si>
  <si>
    <t>% PARCIAL</t>
  </si>
  <si>
    <t>VALOR ACUM. PARCIAL</t>
  </si>
  <si>
    <t>VALOR ACUM. GLOBAL</t>
  </si>
  <si>
    <t>VALOR TOTAL</t>
  </si>
  <si>
    <t>VALOR</t>
  </si>
  <si>
    <t>1.1</t>
  </si>
  <si>
    <t>TOTAL DA ETAPA</t>
  </si>
  <si>
    <t>TOTAL GERAL</t>
  </si>
  <si>
    <t>1º MÊS</t>
  </si>
  <si>
    <t>3.1</t>
  </si>
  <si>
    <t>3.2</t>
  </si>
  <si>
    <t>PREÇO (CUSTO+BDI)</t>
  </si>
  <si>
    <t>SECRETARIA DE PLANEJAMENTO, TRÂNSITO E MEIO AMBIENTE</t>
  </si>
  <si>
    <t>2.2</t>
  </si>
  <si>
    <t>PREÇO UNIT.MAT + BDI</t>
  </si>
  <si>
    <t>PREÇO UNIT (MAT + MO)</t>
  </si>
  <si>
    <t>BDI</t>
  </si>
  <si>
    <t>DRENAGEM PLUVIAL</t>
  </si>
  <si>
    <t>2.4</t>
  </si>
  <si>
    <t>PAVIMENTAÇÕES DAS CURVAS DE ACESSO AO MORRO AZUL</t>
  </si>
  <si>
    <t>ESCAVAÇÕES E REMOÇÕES</t>
  </si>
  <si>
    <t>PAVIMENTAÇÃO</t>
  </si>
  <si>
    <t>CÓDIGO</t>
  </si>
  <si>
    <t>m</t>
  </si>
  <si>
    <t>1.4</t>
  </si>
  <si>
    <t>2.6</t>
  </si>
  <si>
    <t>ESCAVAÇÃO MANUAL P/ ASSENTAMENTO DE BERÇO E CALHA DE CONCRETO</t>
  </si>
  <si>
    <t>C10.24.20.04.005</t>
  </si>
  <si>
    <t>DEMOLIÇÃO DE PAVIMENTAÇÃO DE CONCRETO NÃO ESTRUTURAL COM MARTELETE PNEUMÁTICO</t>
  </si>
  <si>
    <t>TRANSPORTE DE PAVIMENTAÇÃO DE CONCRETO NÃO ESTRUTURAL E MATERIAL RETIRADO</t>
  </si>
  <si>
    <t>TRANSPORTE COMERCIAL COM CAMINHAO BASCULANTE 6 M3, RODOVIA EM LEITO NATURAL</t>
  </si>
  <si>
    <t>txkm</t>
  </si>
  <si>
    <t>PESO ESPECÍFICO CONSIDERADO = 2.4T</t>
  </si>
  <si>
    <t>C20.05.15.05.015</t>
  </si>
  <si>
    <t>PESO ESPECÍFICO CONSIDERADO = 1.7T</t>
  </si>
  <si>
    <t>DISTÂNCIA CONSIDERADA = 10,5KM</t>
  </si>
  <si>
    <t>LOCAÇÃO DA OBRA COM USO DE EQUIPAMENTOS TOPOGRÁFICOS, INCLUSIVE TOPÓGRAFO E NIVELADOR</t>
  </si>
  <si>
    <t>DESPESAS INICIAIS</t>
  </si>
  <si>
    <t>Vb</t>
  </si>
  <si>
    <t>1.3</t>
  </si>
  <si>
    <t>3.3</t>
  </si>
  <si>
    <t>SINALIZAÇÃO COM CERCA LARANJA COM ALTURA DE 1,20M</t>
  </si>
  <si>
    <t>74151/001</t>
  </si>
  <si>
    <t>ATERRO COM MACADAME COMPACTADO, ATÉ O GREIDE DEFINIDO PARA PAVIMENTAÇÃO, INCLUINDO CARGA, ESPALHAMENTO E COMPACTAÇÃO (CONSIDERADO APILOAMENTO NO VALOR)</t>
  </si>
  <si>
    <t>C10.24.20.24.005</t>
  </si>
  <si>
    <t>C35.25.25.10.015</t>
  </si>
  <si>
    <t>PLACA DE OBRA PADRÃO PMT (1,5m x 3m)</t>
  </si>
  <si>
    <t>BERÇO DE CONCRETO MAGRO (INCLUINDO ESPALHAMENTO, VIBRAÇÃO, FORMAS, CURA, DESFORMA)</t>
  </si>
  <si>
    <t>72911 + INS. 6077</t>
  </si>
  <si>
    <t>TRANSPORTE DE MATERIAL PARA ATERRO</t>
  </si>
  <si>
    <t>DISTÂNCIA CONSIDERADA = 9,2KM</t>
  </si>
  <si>
    <t>4.1</t>
  </si>
  <si>
    <t>4.2</t>
  </si>
  <si>
    <t>I05.40.05.05.008</t>
  </si>
  <si>
    <t>C10.28.20.05.010</t>
  </si>
  <si>
    <t>FORNECIMENTO E ASSENTAMENTO DE CALHA DE CONCRETO Ø300mm ASSENTADO SOBRE BERÇO DE CONCRETO MAGRO</t>
  </si>
  <si>
    <t>TRANSPORTE DE CONCRETO NÃO ESTRUTURAL E MATERIAL RETIRADO, PARA BOTA FORA</t>
  </si>
  <si>
    <t>TRANSPORTE DE SOLOS INSERVÍVEIS PARA BOTA FORA</t>
  </si>
  <si>
    <t>kg</t>
  </si>
  <si>
    <t>5.1</t>
  </si>
  <si>
    <t>5.2</t>
  </si>
  <si>
    <t>5.3</t>
  </si>
  <si>
    <t>6.1</t>
  </si>
  <si>
    <t>6.2</t>
  </si>
  <si>
    <t>6.3</t>
  </si>
  <si>
    <t>7.1</t>
  </si>
  <si>
    <t>7.2</t>
  </si>
  <si>
    <t>7.3</t>
  </si>
  <si>
    <t>TOTAL GERAL DO TRECHO 01</t>
  </si>
  <si>
    <t>TOTAL GERAL DO TRECHO 02</t>
  </si>
  <si>
    <t>9.1</t>
  </si>
  <si>
    <t>9.2</t>
  </si>
  <si>
    <t>9.3</t>
  </si>
  <si>
    <t>TOTAL GERAL DO TRECHO 03</t>
  </si>
  <si>
    <t>C35.25.10.10.005</t>
  </si>
  <si>
    <t>1*</t>
  </si>
  <si>
    <t>SINAPI 72843 - Transporte = R$ 0,60tonxKm</t>
  </si>
  <si>
    <t>BASE DE BRITA GRADUADA e=10cm (COMPACTADA)  com TRANSPORTE DE MATERIAL PARA BASE</t>
  </si>
  <si>
    <t>CONCRETO USINADO COM ADITIVO DE SECAGEM RÁPIDA Fck 25 Mpa, ABATIMENTO 5±2cm, BRITA 1 E 2, INCLUSIVE TRANSPORTE, LANÇAMENTO, ADENSAMENTO E ACABAMENTO (esp. 12cm)</t>
  </si>
  <si>
    <t>Armadura de aço CA-50, Ø 8,00mm (5/16") (nos dois sentidos a cada 15cm)</t>
  </si>
  <si>
    <t>MATERIAL = PREÇO DE MERCADO R$ 14,80 VALOR DA BARRA, MÃO DE OBRA = C10.28.10.10.011</t>
  </si>
  <si>
    <t>C10.20.10.05.001</t>
  </si>
  <si>
    <t>REMOÇÃO DE SOLOS INSERVÍVEIS E RETIRADA DE MATERIAL PARA NIVELAMENTO DO GREIDE (esp. 22cm)</t>
  </si>
  <si>
    <t>8.1</t>
  </si>
  <si>
    <t>8.2</t>
  </si>
  <si>
    <t>TRECHO 01 = 42,18m</t>
  </si>
  <si>
    <t>TRECHO 02 = 57,00m</t>
  </si>
  <si>
    <t>TRECHO 04 = 64,00m</t>
  </si>
  <si>
    <t>TOTAL GERAL DO TRECHO 04</t>
  </si>
  <si>
    <t>6.4</t>
  </si>
  <si>
    <t>8.3</t>
  </si>
  <si>
    <t>8.4</t>
  </si>
  <si>
    <t>9.4</t>
  </si>
  <si>
    <t>10.1</t>
  </si>
  <si>
    <t>10.2</t>
  </si>
  <si>
    <t>10.3</t>
  </si>
  <si>
    <t>11.1</t>
  </si>
  <si>
    <t>11.2</t>
  </si>
  <si>
    <t>11.3</t>
  </si>
  <si>
    <t>11.4</t>
  </si>
  <si>
    <t>TRECHO 03 = DEMOLIÇÃO</t>
  </si>
  <si>
    <t>MORRO AZUL</t>
  </si>
  <si>
    <t>TOTAL GERAL DO TRECHO 05</t>
  </si>
  <si>
    <t>ORÇAMENTO ESTIMATIVO</t>
  </si>
  <si>
    <t>12.1</t>
  </si>
  <si>
    <t>12.2</t>
  </si>
  <si>
    <t>13.1</t>
  </si>
  <si>
    <t>13.2</t>
  </si>
  <si>
    <t>13.3</t>
  </si>
  <si>
    <t>TRECHO 05 = 55,00m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</si>
</sst>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R$&quot;#,##0.00"/>
    <numFmt numFmtId="174" formatCode="_(* #,##0.000_);_(* \(#,##0.000\);_(* &quot;-&quot;??_);_(@_)"/>
    <numFmt numFmtId="175" formatCode="_(* #,##0.0000_);_(* \(#,##0.0000\);_(* &quot;-&quot;??_);_(@_)"/>
    <numFmt numFmtId="176" formatCode="0.00000"/>
    <numFmt numFmtId="177" formatCode="0.0%"/>
    <numFmt numFmtId="178" formatCode="0.000%"/>
    <numFmt numFmtId="179" formatCode="0.0000%"/>
    <numFmt numFmtId="180" formatCode="0.00000%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[$-416]dddd\,\ d&quot; de &quot;mmmm&quot; de &quot;yyyy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b/>
      <sz val="9"/>
      <name val="Arial"/>
      <family val="2"/>
    </font>
    <font>
      <sz val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6"/>
      <name val="Calibri"/>
      <family val="2"/>
    </font>
    <font>
      <b/>
      <sz val="6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/>
      <top/>
      <bottom style="double"/>
    </border>
    <border>
      <left style="thin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hair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Alignment="1">
      <alignment/>
    </xf>
    <xf numFmtId="172" fontId="5" fillId="0" borderId="10" xfId="49" applyFont="1" applyBorder="1" applyAlignment="1">
      <alignment/>
    </xf>
    <xf numFmtId="0" fontId="5" fillId="0" borderId="10" xfId="0" applyFont="1" applyBorder="1" applyAlignment="1">
      <alignment horizontal="right"/>
    </xf>
    <xf numFmtId="10" fontId="5" fillId="0" borderId="10" xfId="52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172" fontId="4" fillId="0" borderId="11" xfId="49" applyFont="1" applyBorder="1" applyAlignment="1">
      <alignment/>
    </xf>
    <xf numFmtId="10" fontId="4" fillId="0" borderId="12" xfId="52" applyNumberFormat="1" applyFont="1" applyBorder="1" applyAlignment="1">
      <alignment horizontal="right"/>
    </xf>
    <xf numFmtId="10" fontId="4" fillId="0" borderId="13" xfId="52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173" fontId="5" fillId="0" borderId="14" xfId="0" applyNumberFormat="1" applyFont="1" applyFill="1" applyBorder="1" applyAlignment="1">
      <alignment horizontal="center"/>
    </xf>
    <xf numFmtId="171" fontId="4" fillId="0" borderId="0" xfId="63" applyFont="1" applyBorder="1" applyAlignment="1">
      <alignment horizontal="center"/>
    </xf>
    <xf numFmtId="171" fontId="4" fillId="0" borderId="0" xfId="63" applyFont="1" applyFill="1" applyBorder="1" applyAlignment="1">
      <alignment/>
    </xf>
    <xf numFmtId="171" fontId="4" fillId="0" borderId="0" xfId="63" applyFont="1" applyBorder="1" applyAlignment="1">
      <alignment/>
    </xf>
    <xf numFmtId="0" fontId="0" fillId="0" borderId="0" xfId="0" applyFont="1" applyBorder="1" applyAlignment="1">
      <alignment/>
    </xf>
    <xf numFmtId="172" fontId="3" fillId="0" borderId="0" xfId="49" applyFont="1" applyBorder="1" applyAlignment="1">
      <alignment/>
    </xf>
    <xf numFmtId="0" fontId="5" fillId="0" borderId="15" xfId="0" applyFont="1" applyFill="1" applyBorder="1" applyAlignment="1">
      <alignment horizontal="center"/>
    </xf>
    <xf numFmtId="173" fontId="5" fillId="0" borderId="16" xfId="0" applyNumberFormat="1" applyFont="1" applyFill="1" applyBorder="1" applyAlignment="1">
      <alignment horizontal="center"/>
    </xf>
    <xf numFmtId="171" fontId="8" fillId="0" borderId="0" xfId="63" applyFont="1" applyBorder="1" applyAlignment="1">
      <alignment/>
    </xf>
    <xf numFmtId="171" fontId="4" fillId="0" borderId="17" xfId="63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4" fillId="0" borderId="18" xfId="49" applyFont="1" applyBorder="1" applyAlignment="1">
      <alignment/>
    </xf>
    <xf numFmtId="171" fontId="4" fillId="0" borderId="10" xfId="63" applyFont="1" applyBorder="1" applyAlignment="1">
      <alignment horizontal="center"/>
    </xf>
    <xf numFmtId="9" fontId="5" fillId="0" borderId="15" xfId="52" applyFont="1" applyFill="1" applyBorder="1" applyAlignment="1">
      <alignment horizontal="center"/>
    </xf>
    <xf numFmtId="9" fontId="4" fillId="0" borderId="12" xfId="52" applyFont="1" applyBorder="1" applyAlignment="1">
      <alignment horizontal="center"/>
    </xf>
    <xf numFmtId="9" fontId="4" fillId="0" borderId="10" xfId="52" applyFont="1" applyBorder="1" applyAlignment="1">
      <alignment horizontal="center"/>
    </xf>
    <xf numFmtId="9" fontId="4" fillId="0" borderId="0" xfId="52" applyFont="1" applyBorder="1" applyAlignment="1">
      <alignment horizontal="center"/>
    </xf>
    <xf numFmtId="9" fontId="0" fillId="0" borderId="0" xfId="52" applyFont="1" applyBorder="1" applyAlignment="1">
      <alignment horizontal="center"/>
    </xf>
    <xf numFmtId="9" fontId="0" fillId="0" borderId="0" xfId="52" applyFont="1" applyAlignment="1">
      <alignment horizontal="center"/>
    </xf>
    <xf numFmtId="9" fontId="2" fillId="0" borderId="0" xfId="52" applyFont="1" applyAlignment="1">
      <alignment horizontal="center"/>
    </xf>
    <xf numFmtId="9" fontId="4" fillId="0" borderId="0" xfId="52" applyFont="1" applyFill="1" applyBorder="1" applyAlignment="1">
      <alignment horizontal="center"/>
    </xf>
    <xf numFmtId="171" fontId="10" fillId="0" borderId="19" xfId="0" applyNumberFormat="1" applyFont="1" applyBorder="1" applyAlignment="1">
      <alignment/>
    </xf>
    <xf numFmtId="9" fontId="10" fillId="0" borderId="20" xfId="0" applyNumberFormat="1" applyFont="1" applyBorder="1" applyAlignment="1">
      <alignment/>
    </xf>
    <xf numFmtId="0" fontId="10" fillId="0" borderId="0" xfId="0" applyFont="1" applyBorder="1" applyAlignment="1">
      <alignment/>
    </xf>
    <xf numFmtId="171" fontId="11" fillId="0" borderId="10" xfId="0" applyNumberFormat="1" applyFont="1" applyBorder="1" applyAlignment="1">
      <alignment/>
    </xf>
    <xf numFmtId="172" fontId="8" fillId="0" borderId="21" xfId="49" applyFont="1" applyBorder="1" applyAlignment="1">
      <alignment/>
    </xf>
    <xf numFmtId="172" fontId="4" fillId="0" borderId="22" xfId="49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2" fillId="0" borderId="24" xfId="0" applyFont="1" applyBorder="1" applyAlignment="1">
      <alignment/>
    </xf>
    <xf numFmtId="9" fontId="2" fillId="0" borderId="24" xfId="52" applyFont="1" applyBorder="1" applyAlignment="1">
      <alignment horizontal="center"/>
    </xf>
    <xf numFmtId="0" fontId="0" fillId="0" borderId="25" xfId="0" applyFont="1" applyBorder="1" applyAlignment="1">
      <alignment/>
    </xf>
    <xf numFmtId="172" fontId="3" fillId="0" borderId="22" xfId="49" applyFont="1" applyBorder="1" applyAlignment="1">
      <alignment/>
    </xf>
    <xf numFmtId="0" fontId="11" fillId="0" borderId="0" xfId="0" applyFont="1" applyAlignment="1">
      <alignment/>
    </xf>
    <xf numFmtId="171" fontId="4" fillId="0" borderId="10" xfId="63" applyFont="1" applyBorder="1" applyAlignment="1">
      <alignment/>
    </xf>
    <xf numFmtId="9" fontId="4" fillId="0" borderId="10" xfId="52" applyFont="1" applyBorder="1" applyAlignment="1">
      <alignment/>
    </xf>
    <xf numFmtId="0" fontId="6" fillId="0" borderId="10" xfId="0" applyFont="1" applyBorder="1" applyAlignment="1">
      <alignment/>
    </xf>
    <xf numFmtId="9" fontId="8" fillId="0" borderId="0" xfId="52" applyFont="1" applyBorder="1" applyAlignment="1">
      <alignment horizontal="center"/>
    </xf>
    <xf numFmtId="9" fontId="2" fillId="0" borderId="22" xfId="52" applyFont="1" applyBorder="1" applyAlignment="1">
      <alignment horizontal="center"/>
    </xf>
    <xf numFmtId="0" fontId="4" fillId="0" borderId="17" xfId="49" applyNumberFormat="1" applyFont="1" applyBorder="1" applyAlignment="1">
      <alignment horizontal="center"/>
    </xf>
    <xf numFmtId="0" fontId="4" fillId="0" borderId="26" xfId="49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1" fontId="4" fillId="33" borderId="10" xfId="63" applyFont="1" applyFill="1" applyBorder="1" applyAlignment="1">
      <alignment horizontal="center"/>
    </xf>
    <xf numFmtId="9" fontId="4" fillId="33" borderId="10" xfId="52" applyFont="1" applyFill="1" applyBorder="1" applyAlignment="1">
      <alignment horizontal="center"/>
    </xf>
    <xf numFmtId="171" fontId="11" fillId="33" borderId="10" xfId="0" applyNumberFormat="1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72" fontId="8" fillId="0" borderId="28" xfId="49" applyFont="1" applyBorder="1" applyAlignment="1">
      <alignment/>
    </xf>
    <xf numFmtId="172" fontId="9" fillId="0" borderId="24" xfId="49" applyFont="1" applyBorder="1" applyAlignment="1">
      <alignment/>
    </xf>
    <xf numFmtId="172" fontId="4" fillId="0" borderId="24" xfId="49" applyFont="1" applyBorder="1" applyAlignment="1">
      <alignment/>
    </xf>
    <xf numFmtId="172" fontId="5" fillId="0" borderId="24" xfId="49" applyFont="1" applyBorder="1" applyAlignment="1">
      <alignment/>
    </xf>
    <xf numFmtId="0" fontId="12" fillId="33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29" xfId="49" applyNumberFormat="1" applyFont="1" applyFill="1" applyBorder="1" applyAlignment="1">
      <alignment horizontal="center"/>
    </xf>
    <xf numFmtId="172" fontId="4" fillId="0" borderId="30" xfId="49" applyFont="1" applyFill="1" applyBorder="1" applyAlignment="1">
      <alignment/>
    </xf>
    <xf numFmtId="172" fontId="3" fillId="33" borderId="10" xfId="49" applyFont="1" applyFill="1" applyBorder="1" applyAlignment="1">
      <alignment/>
    </xf>
    <xf numFmtId="9" fontId="3" fillId="33" borderId="10" xfId="52" applyFont="1" applyFill="1" applyBorder="1" applyAlignment="1">
      <alignment/>
    </xf>
    <xf numFmtId="0" fontId="33" fillId="0" borderId="10" xfId="0" applyFont="1" applyFill="1" applyBorder="1" applyAlignment="1">
      <alignment horizontal="center" vertical="center"/>
    </xf>
    <xf numFmtId="171" fontId="33" fillId="0" borderId="10" xfId="63" applyFont="1" applyFill="1" applyBorder="1" applyAlignment="1">
      <alignment vertical="center"/>
    </xf>
    <xf numFmtId="171" fontId="33" fillId="0" borderId="10" xfId="63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1" fontId="0" fillId="0" borderId="0" xfId="63" applyFont="1" applyAlignment="1">
      <alignment vertical="center"/>
    </xf>
    <xf numFmtId="0" fontId="35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171" fontId="35" fillId="0" borderId="0" xfId="63" applyFont="1" applyFill="1" applyBorder="1" applyAlignment="1">
      <alignment vertical="center"/>
    </xf>
    <xf numFmtId="171" fontId="35" fillId="0" borderId="0" xfId="63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1" fontId="0" fillId="0" borderId="0" xfId="63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1" fontId="13" fillId="0" borderId="0" xfId="63" applyFont="1" applyBorder="1" applyAlignment="1">
      <alignment horizontal="left" vertical="center"/>
    </xf>
    <xf numFmtId="0" fontId="36" fillId="34" borderId="0" xfId="0" applyFont="1" applyFill="1" applyBorder="1" applyAlignment="1">
      <alignment horizontal="left" vertical="center" wrapText="1"/>
    </xf>
    <xf numFmtId="0" fontId="33" fillId="34" borderId="0" xfId="0" applyFont="1" applyFill="1" applyBorder="1" applyAlignment="1">
      <alignment horizontal="center" vertical="center"/>
    </xf>
    <xf numFmtId="171" fontId="37" fillId="34" borderId="0" xfId="63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1" fontId="13" fillId="0" borderId="0" xfId="63" applyFont="1" applyBorder="1" applyAlignment="1">
      <alignment horizontal="right" vertical="center"/>
    </xf>
    <xf numFmtId="0" fontId="37" fillId="34" borderId="0" xfId="0" applyFont="1" applyFill="1" applyBorder="1" applyAlignment="1">
      <alignment horizontal="left" vertical="center"/>
    </xf>
    <xf numFmtId="0" fontId="33" fillId="34" borderId="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justify" vertical="center"/>
    </xf>
    <xf numFmtId="0" fontId="0" fillId="0" borderId="0" xfId="0" applyFont="1" applyAlignment="1">
      <alignment vertical="center"/>
    </xf>
    <xf numFmtId="171" fontId="10" fillId="0" borderId="0" xfId="63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10" fontId="34" fillId="0" borderId="0" xfId="52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3" fillId="0" borderId="10" xfId="0" applyFont="1" applyFill="1" applyBorder="1" applyAlignment="1">
      <alignment horizontal="justify" vertical="center" wrapText="1"/>
    </xf>
    <xf numFmtId="171" fontId="34" fillId="0" borderId="0" xfId="63" applyFont="1" applyFill="1" applyBorder="1" applyAlignment="1">
      <alignment vertical="center"/>
    </xf>
    <xf numFmtId="44" fontId="0" fillId="0" borderId="0" xfId="47" applyFont="1" applyFill="1" applyBorder="1" applyAlignment="1">
      <alignment vertical="center"/>
    </xf>
    <xf numFmtId="171" fontId="10" fillId="0" borderId="0" xfId="63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1" fontId="0" fillId="0" borderId="0" xfId="63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171" fontId="10" fillId="0" borderId="0" xfId="63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71" fontId="34" fillId="0" borderId="0" xfId="63" applyNumberFormat="1" applyFont="1" applyBorder="1" applyAlignment="1">
      <alignment horizontal="center" vertical="center"/>
    </xf>
    <xf numFmtId="171" fontId="10" fillId="0" borderId="0" xfId="63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63" applyNumberFormat="1" applyFont="1" applyAlignment="1">
      <alignment vertical="center"/>
    </xf>
    <xf numFmtId="171" fontId="0" fillId="0" borderId="0" xfId="63" applyFont="1" applyAlignment="1">
      <alignment vertical="center"/>
    </xf>
    <xf numFmtId="0" fontId="34" fillId="0" borderId="0" xfId="0" applyNumberFormat="1" applyFont="1" applyAlignment="1">
      <alignment horizontal="left" vertical="center"/>
    </xf>
    <xf numFmtId="0" fontId="34" fillId="0" borderId="0" xfId="0" applyNumberFormat="1" applyFont="1" applyFill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34" fillId="0" borderId="0" xfId="0" applyNumberFormat="1" applyFont="1" applyBorder="1" applyAlignment="1">
      <alignment horizontal="center" vertical="center"/>
    </xf>
    <xf numFmtId="0" fontId="34" fillId="0" borderId="0" xfId="63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3" fontId="0" fillId="0" borderId="0" xfId="0" applyNumberFormat="1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0" fillId="0" borderId="0" xfId="63" applyNumberFormat="1" applyFont="1" applyFill="1" applyAlignment="1">
      <alignment vertical="center"/>
    </xf>
    <xf numFmtId="0" fontId="14" fillId="0" borderId="0" xfId="63" applyNumberFormat="1" applyFont="1" applyFill="1" applyBorder="1" applyAlignment="1">
      <alignment horizontal="center" vertical="center"/>
    </xf>
    <xf numFmtId="0" fontId="14" fillId="0" borderId="0" xfId="63" applyNumberFormat="1" applyFont="1" applyBorder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34" fillId="0" borderId="0" xfId="63" applyNumberFormat="1" applyFont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63" applyNumberFormat="1" applyFont="1" applyAlignment="1">
      <alignment vertical="center"/>
    </xf>
    <xf numFmtId="0" fontId="0" fillId="0" borderId="0" xfId="63" applyNumberFormat="1" applyFont="1" applyFill="1" applyAlignment="1">
      <alignment vertical="center"/>
    </xf>
    <xf numFmtId="0" fontId="0" fillId="0" borderId="0" xfId="63" applyNumberFormat="1" applyFont="1" applyFill="1" applyAlignment="1">
      <alignment horizontal="left" vertical="center"/>
    </xf>
    <xf numFmtId="0" fontId="34" fillId="0" borderId="0" xfId="0" applyNumberFormat="1" applyFont="1" applyFill="1" applyBorder="1" applyAlignment="1">
      <alignment horizontal="center" vertical="center"/>
    </xf>
    <xf numFmtId="43" fontId="0" fillId="0" borderId="0" xfId="0" applyNumberFormat="1" applyFont="1" applyFill="1" applyBorder="1" applyAlignment="1">
      <alignment vertical="center"/>
    </xf>
    <xf numFmtId="0" fontId="38" fillId="0" borderId="31" xfId="0" applyFont="1" applyBorder="1" applyAlignment="1">
      <alignment horizontal="left" vertical="center"/>
    </xf>
    <xf numFmtId="0" fontId="35" fillId="0" borderId="32" xfId="0" applyFont="1" applyBorder="1" applyAlignment="1">
      <alignment vertical="center"/>
    </xf>
    <xf numFmtId="0" fontId="33" fillId="0" borderId="32" xfId="0" applyFont="1" applyBorder="1" applyAlignment="1">
      <alignment horizontal="center" vertical="center"/>
    </xf>
    <xf numFmtId="171" fontId="35" fillId="0" borderId="32" xfId="63" applyFont="1" applyFill="1" applyBorder="1" applyAlignment="1">
      <alignment vertical="center"/>
    </xf>
    <xf numFmtId="171" fontId="35" fillId="0" borderId="32" xfId="63" applyFont="1" applyBorder="1" applyAlignment="1">
      <alignment vertical="center"/>
    </xf>
    <xf numFmtId="171" fontId="35" fillId="0" borderId="33" xfId="63" applyFont="1" applyBorder="1" applyAlignment="1">
      <alignment vertical="center"/>
    </xf>
    <xf numFmtId="0" fontId="39" fillId="0" borderId="34" xfId="0" applyFont="1" applyBorder="1" applyAlignment="1">
      <alignment horizontal="left" vertical="center"/>
    </xf>
    <xf numFmtId="171" fontId="35" fillId="0" borderId="35" xfId="63" applyFont="1" applyBorder="1" applyAlignment="1">
      <alignment vertical="center"/>
    </xf>
    <xf numFmtId="0" fontId="35" fillId="0" borderId="34" xfId="0" applyFont="1" applyBorder="1" applyAlignment="1">
      <alignment horizontal="center" vertical="center"/>
    </xf>
    <xf numFmtId="175" fontId="63" fillId="0" borderId="35" xfId="63" applyNumberFormat="1" applyFont="1" applyBorder="1" applyAlignment="1">
      <alignment vertical="center"/>
    </xf>
    <xf numFmtId="0" fontId="41" fillId="34" borderId="34" xfId="0" applyFont="1" applyFill="1" applyBorder="1" applyAlignment="1">
      <alignment vertical="center"/>
    </xf>
    <xf numFmtId="171" fontId="37" fillId="34" borderId="35" xfId="63" applyFont="1" applyFill="1" applyBorder="1" applyAlignment="1">
      <alignment horizontal="right" vertical="center"/>
    </xf>
    <xf numFmtId="0" fontId="39" fillId="34" borderId="34" xfId="0" applyFont="1" applyFill="1" applyBorder="1" applyAlignment="1">
      <alignment horizontal="left" vertical="center"/>
    </xf>
    <xf numFmtId="171" fontId="33" fillId="0" borderId="36" xfId="63" applyFont="1" applyFill="1" applyBorder="1" applyAlignment="1">
      <alignment vertical="center"/>
    </xf>
    <xf numFmtId="0" fontId="33" fillId="0" borderId="37" xfId="0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left" vertical="center"/>
    </xf>
    <xf numFmtId="171" fontId="37" fillId="34" borderId="0" xfId="63" applyFont="1" applyFill="1" applyBorder="1" applyAlignment="1">
      <alignment horizontal="left" vertical="center"/>
    </xf>
    <xf numFmtId="171" fontId="37" fillId="34" borderId="35" xfId="63" applyFont="1" applyFill="1" applyBorder="1" applyAlignment="1">
      <alignment horizontal="left" vertical="center"/>
    </xf>
    <xf numFmtId="0" fontId="39" fillId="0" borderId="38" xfId="0" applyFont="1" applyBorder="1" applyAlignment="1">
      <alignment horizontal="center" vertical="center"/>
    </xf>
    <xf numFmtId="0" fontId="39" fillId="0" borderId="39" xfId="0" applyFont="1" applyBorder="1" applyAlignment="1">
      <alignment horizontal="justify" vertical="center"/>
    </xf>
    <xf numFmtId="0" fontId="33" fillId="0" borderId="39" xfId="0" applyFont="1" applyBorder="1" applyAlignment="1">
      <alignment horizontal="center" vertical="center"/>
    </xf>
    <xf numFmtId="171" fontId="33" fillId="0" borderId="39" xfId="63" applyFont="1" applyFill="1" applyBorder="1" applyAlignment="1">
      <alignment horizontal="center" vertical="center"/>
    </xf>
    <xf numFmtId="171" fontId="33" fillId="0" borderId="40" xfId="63" applyFont="1" applyFill="1" applyBorder="1" applyAlignment="1">
      <alignment vertical="center"/>
    </xf>
    <xf numFmtId="0" fontId="33" fillId="0" borderId="27" xfId="0" applyFont="1" applyFill="1" applyBorder="1" applyAlignment="1">
      <alignment horizontal="justify" vertical="center" wrapText="1"/>
    </xf>
    <xf numFmtId="0" fontId="33" fillId="0" borderId="27" xfId="0" applyFont="1" applyFill="1" applyBorder="1" applyAlignment="1">
      <alignment horizontal="center" vertical="center"/>
    </xf>
    <xf numFmtId="171" fontId="33" fillId="0" borderId="27" xfId="63" applyFont="1" applyFill="1" applyBorder="1" applyAlignment="1">
      <alignment vertical="center"/>
    </xf>
    <xf numFmtId="171" fontId="33" fillId="0" borderId="27" xfId="63" applyFont="1" applyFill="1" applyBorder="1" applyAlignment="1">
      <alignment horizontal="center" vertical="center"/>
    </xf>
    <xf numFmtId="171" fontId="35" fillId="0" borderId="39" xfId="63" applyFont="1" applyFill="1" applyBorder="1" applyAlignment="1">
      <alignment vertical="center"/>
    </xf>
    <xf numFmtId="171" fontId="33" fillId="0" borderId="40" xfId="63" applyFont="1" applyBorder="1" applyAlignment="1">
      <alignment vertical="center"/>
    </xf>
    <xf numFmtId="0" fontId="33" fillId="35" borderId="37" xfId="0" applyFont="1" applyFill="1" applyBorder="1" applyAlignment="1">
      <alignment horizontal="center" vertical="center"/>
    </xf>
    <xf numFmtId="0" fontId="0" fillId="0" borderId="0" xfId="0" applyFont="1" applyAlignment="1">
      <alignment vertical="justify"/>
    </xf>
    <xf numFmtId="0" fontId="33" fillId="35" borderId="10" xfId="0" applyFont="1" applyFill="1" applyBorder="1" applyAlignment="1">
      <alignment horizontal="justify" vertical="center" wrapText="1"/>
    </xf>
    <xf numFmtId="0" fontId="33" fillId="35" borderId="10" xfId="0" applyFont="1" applyFill="1" applyBorder="1" applyAlignment="1">
      <alignment horizontal="center" vertical="center"/>
    </xf>
    <xf numFmtId="171" fontId="33" fillId="35" borderId="10" xfId="63" applyFont="1" applyFill="1" applyBorder="1" applyAlignment="1">
      <alignment vertical="center"/>
    </xf>
    <xf numFmtId="171" fontId="33" fillId="35" borderId="10" xfId="63" applyFont="1" applyFill="1" applyBorder="1" applyAlignment="1">
      <alignment horizontal="center" vertical="center"/>
    </xf>
    <xf numFmtId="10" fontId="34" fillId="35" borderId="0" xfId="52" applyNumberFormat="1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0" fontId="34" fillId="35" borderId="0" xfId="0" applyNumberFormat="1" applyFont="1" applyFill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171" fontId="10" fillId="35" borderId="0" xfId="63" applyNumberFormat="1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171" fontId="42" fillId="19" borderId="41" xfId="63" applyFont="1" applyFill="1" applyBorder="1" applyAlignment="1">
      <alignment horizontal="center" vertical="center" wrapText="1"/>
    </xf>
    <xf numFmtId="171" fontId="42" fillId="19" borderId="42" xfId="63" applyFont="1" applyFill="1" applyBorder="1" applyAlignment="1">
      <alignment horizontal="center" vertical="center" wrapText="1"/>
    </xf>
    <xf numFmtId="171" fontId="42" fillId="19" borderId="43" xfId="63" applyFont="1" applyFill="1" applyBorder="1" applyAlignment="1">
      <alignment horizontal="center" vertical="center" wrapText="1"/>
    </xf>
    <xf numFmtId="171" fontId="34" fillId="19" borderId="44" xfId="63" applyFont="1" applyFill="1" applyBorder="1" applyAlignment="1">
      <alignment horizontal="center" vertical="center"/>
    </xf>
    <xf numFmtId="171" fontId="34" fillId="19" borderId="45" xfId="63" applyFont="1" applyFill="1" applyBorder="1" applyAlignment="1">
      <alignment horizontal="center" vertical="center"/>
    </xf>
    <xf numFmtId="171" fontId="34" fillId="19" borderId="46" xfId="63" applyFont="1" applyFill="1" applyBorder="1" applyAlignment="1">
      <alignment horizontal="center" vertical="center"/>
    </xf>
    <xf numFmtId="0" fontId="35" fillId="19" borderId="47" xfId="0" applyFont="1" applyFill="1" applyBorder="1" applyAlignment="1">
      <alignment horizontal="center" vertical="center"/>
    </xf>
    <xf numFmtId="0" fontId="34" fillId="19" borderId="48" xfId="0" applyFont="1" applyFill="1" applyBorder="1" applyAlignment="1">
      <alignment horizontal="right" vertical="center"/>
    </xf>
    <xf numFmtId="0" fontId="33" fillId="19" borderId="48" xfId="0" applyFont="1" applyFill="1" applyBorder="1" applyAlignment="1">
      <alignment horizontal="center" vertical="center"/>
    </xf>
    <xf numFmtId="171" fontId="35" fillId="19" borderId="48" xfId="63" applyFont="1" applyFill="1" applyBorder="1" applyAlignment="1">
      <alignment horizontal="center" vertical="center"/>
    </xf>
    <xf numFmtId="171" fontId="33" fillId="19" borderId="48" xfId="63" applyFont="1" applyFill="1" applyBorder="1" applyAlignment="1">
      <alignment horizontal="center" vertical="center"/>
    </xf>
    <xf numFmtId="171" fontId="34" fillId="19" borderId="49" xfId="63" applyFont="1" applyFill="1" applyBorder="1" applyAlignment="1">
      <alignment vertical="center"/>
    </xf>
    <xf numFmtId="0" fontId="35" fillId="19" borderId="37" xfId="0" applyFont="1" applyFill="1" applyBorder="1" applyAlignment="1">
      <alignment horizontal="center" vertical="center"/>
    </xf>
    <xf numFmtId="0" fontId="34" fillId="19" borderId="10" xfId="0" applyFont="1" applyFill="1" applyBorder="1" applyAlignment="1">
      <alignment horizontal="right" vertical="center"/>
    </xf>
    <xf numFmtId="0" fontId="33" fillId="19" borderId="10" xfId="0" applyFont="1" applyFill="1" applyBorder="1" applyAlignment="1">
      <alignment horizontal="center" vertical="center"/>
    </xf>
    <xf numFmtId="171" fontId="35" fillId="19" borderId="10" xfId="63" applyFont="1" applyFill="1" applyBorder="1" applyAlignment="1">
      <alignment vertical="center"/>
    </xf>
    <xf numFmtId="171" fontId="33" fillId="19" borderId="10" xfId="63" applyFont="1" applyFill="1" applyBorder="1" applyAlignment="1">
      <alignment horizontal="center" vertical="center"/>
    </xf>
    <xf numFmtId="171" fontId="34" fillId="19" borderId="36" xfId="63" applyFont="1" applyFill="1" applyBorder="1" applyAlignment="1">
      <alignment vertical="center"/>
    </xf>
    <xf numFmtId="0" fontId="35" fillId="19" borderId="50" xfId="0" applyFont="1" applyFill="1" applyBorder="1" applyAlignment="1">
      <alignment horizontal="center" vertical="center"/>
    </xf>
    <xf numFmtId="0" fontId="39" fillId="19" borderId="51" xfId="0" applyFont="1" applyFill="1" applyBorder="1" applyAlignment="1">
      <alignment horizontal="right" vertical="center"/>
    </xf>
    <xf numFmtId="171" fontId="33" fillId="19" borderId="51" xfId="63" applyFont="1" applyFill="1" applyBorder="1" applyAlignment="1">
      <alignment vertical="center"/>
    </xf>
    <xf numFmtId="171" fontId="34" fillId="19" borderId="46" xfId="63" applyFont="1" applyFill="1" applyBorder="1" applyAlignment="1">
      <alignment vertical="center"/>
    </xf>
    <xf numFmtId="171" fontId="10" fillId="0" borderId="0" xfId="63" applyNumberFormat="1" applyFont="1" applyFill="1" applyBorder="1" applyAlignment="1">
      <alignment vertical="center"/>
    </xf>
    <xf numFmtId="0" fontId="33" fillId="0" borderId="37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71" fontId="33" fillId="0" borderId="10" xfId="63" applyFont="1" applyFill="1" applyBorder="1" applyAlignment="1">
      <alignment vertical="center" wrapText="1"/>
    </xf>
    <xf numFmtId="171" fontId="33" fillId="0" borderId="10" xfId="63" applyFont="1" applyFill="1" applyBorder="1" applyAlignment="1">
      <alignment horizontal="center" vertical="center" wrapText="1"/>
    </xf>
    <xf numFmtId="171" fontId="33" fillId="0" borderId="36" xfId="63" applyFont="1" applyFill="1" applyBorder="1" applyAlignment="1">
      <alignment vertical="center" wrapText="1"/>
    </xf>
    <xf numFmtId="10" fontId="34" fillId="0" borderId="0" xfId="52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4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171" fontId="10" fillId="0" borderId="0" xfId="63" applyNumberFormat="1" applyFont="1" applyBorder="1" applyAlignment="1">
      <alignment vertical="center" wrapText="1"/>
    </xf>
    <xf numFmtId="43" fontId="0" fillId="0" borderId="0" xfId="0" applyNumberFormat="1" applyFont="1" applyFill="1" applyAlignment="1">
      <alignment vertical="center" wrapText="1"/>
    </xf>
    <xf numFmtId="0" fontId="39" fillId="0" borderId="52" xfId="0" applyFont="1" applyBorder="1" applyAlignment="1">
      <alignment horizontal="center" vertical="center"/>
    </xf>
    <xf numFmtId="0" fontId="39" fillId="0" borderId="53" xfId="0" applyFont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0" fontId="0" fillId="0" borderId="0" xfId="63" applyNumberFormat="1" applyFont="1" applyFill="1" applyAlignment="1">
      <alignment horizontal="left" vertical="center"/>
    </xf>
    <xf numFmtId="171" fontId="10" fillId="0" borderId="0" xfId="63" applyFont="1" applyBorder="1" applyAlignment="1">
      <alignment horizontal="center" vertical="center"/>
    </xf>
    <xf numFmtId="0" fontId="39" fillId="19" borderId="55" xfId="0" applyFont="1" applyFill="1" applyBorder="1" applyAlignment="1">
      <alignment horizontal="center" vertical="center"/>
    </xf>
    <xf numFmtId="0" fontId="39" fillId="19" borderId="56" xfId="0" applyFont="1" applyFill="1" applyBorder="1" applyAlignment="1">
      <alignment horizontal="center" vertical="center"/>
    </xf>
    <xf numFmtId="0" fontId="39" fillId="19" borderId="57" xfId="0" applyFont="1" applyFill="1" applyBorder="1" applyAlignment="1">
      <alignment horizontal="center" vertical="center"/>
    </xf>
    <xf numFmtId="0" fontId="34" fillId="19" borderId="58" xfId="0" applyFont="1" applyFill="1" applyBorder="1" applyAlignment="1">
      <alignment horizontal="center" vertical="center"/>
    </xf>
    <xf numFmtId="0" fontId="34" fillId="19" borderId="50" xfId="0" applyFont="1" applyFill="1" applyBorder="1" applyAlignment="1">
      <alignment horizontal="center" vertical="center"/>
    </xf>
    <xf numFmtId="0" fontId="43" fillId="19" borderId="42" xfId="0" applyFont="1" applyFill="1" applyBorder="1" applyAlignment="1">
      <alignment horizontal="center" vertical="center"/>
    </xf>
    <xf numFmtId="0" fontId="43" fillId="19" borderId="51" xfId="0" applyFont="1" applyFill="1" applyBorder="1" applyAlignment="1">
      <alignment horizontal="center" vertical="center"/>
    </xf>
    <xf numFmtId="0" fontId="34" fillId="19" borderId="42" xfId="0" applyFont="1" applyFill="1" applyBorder="1" applyAlignment="1">
      <alignment horizontal="center" vertical="center"/>
    </xf>
    <xf numFmtId="0" fontId="34" fillId="19" borderId="51" xfId="0" applyFont="1" applyFill="1" applyBorder="1" applyAlignment="1">
      <alignment horizontal="center" vertical="center"/>
    </xf>
    <xf numFmtId="171" fontId="34" fillId="19" borderId="42" xfId="63" applyFont="1" applyFill="1" applyBorder="1" applyAlignment="1">
      <alignment horizontal="center" vertical="center"/>
    </xf>
    <xf numFmtId="171" fontId="34" fillId="19" borderId="51" xfId="63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_Orça.timbó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7"/>
  <sheetViews>
    <sheetView showGridLines="0" view="pageBreakPreview" zoomScaleSheetLayoutView="100" workbookViewId="0" topLeftCell="A58">
      <selection activeCell="G87" sqref="G87"/>
    </sheetView>
  </sheetViews>
  <sheetFormatPr defaultColWidth="11.421875" defaultRowHeight="12.75"/>
  <cols>
    <col min="1" max="1" width="6.140625" style="104" customWidth="1"/>
    <col min="2" max="2" width="69.140625" style="77" customWidth="1"/>
    <col min="3" max="3" width="4.421875" style="105" bestFit="1" customWidth="1"/>
    <col min="4" max="4" width="8.28125" style="106" customWidth="1"/>
    <col min="5" max="5" width="9.8515625" style="106" bestFit="1" customWidth="1"/>
    <col min="6" max="6" width="11.00390625" style="78" customWidth="1"/>
    <col min="7" max="7" width="10.28125" style="78" bestFit="1" customWidth="1"/>
    <col min="8" max="8" width="6.8515625" style="107" bestFit="1" customWidth="1"/>
    <col min="9" max="9" width="2.00390625" style="76" customWidth="1"/>
    <col min="10" max="10" width="11.421875" style="124" customWidth="1"/>
    <col min="11" max="11" width="11.421875" style="77" customWidth="1"/>
    <col min="12" max="12" width="10.140625" style="78" customWidth="1"/>
    <col min="13" max="16384" width="11.421875" style="77" customWidth="1"/>
  </cols>
  <sheetData>
    <row r="1" spans="1:10" ht="15.75">
      <c r="A1" s="146" t="s">
        <v>12</v>
      </c>
      <c r="B1" s="147"/>
      <c r="C1" s="148"/>
      <c r="D1" s="149"/>
      <c r="E1" s="149"/>
      <c r="F1" s="150"/>
      <c r="G1" s="151"/>
      <c r="H1" s="76" t="s">
        <v>34</v>
      </c>
      <c r="J1" s="118">
        <v>1.28</v>
      </c>
    </row>
    <row r="2" spans="1:10" ht="12.75">
      <c r="A2" s="152" t="s">
        <v>30</v>
      </c>
      <c r="B2" s="79"/>
      <c r="C2" s="80"/>
      <c r="D2" s="81"/>
      <c r="E2" s="81"/>
      <c r="F2" s="82"/>
      <c r="G2" s="153"/>
      <c r="H2" s="76"/>
      <c r="J2" s="118"/>
    </row>
    <row r="3" spans="1:13" ht="13.5" thickBot="1">
      <c r="A3" s="154"/>
      <c r="B3" s="79"/>
      <c r="C3" s="80"/>
      <c r="D3" s="81"/>
      <c r="E3" s="81"/>
      <c r="F3" s="82"/>
      <c r="G3" s="155">
        <v>0.9443</v>
      </c>
      <c r="H3" s="76"/>
      <c r="J3" s="118"/>
      <c r="K3" s="83"/>
      <c r="L3" s="84"/>
      <c r="M3" s="83"/>
    </row>
    <row r="4" spans="1:13" ht="13.5" thickBot="1">
      <c r="A4" s="226" t="s">
        <v>121</v>
      </c>
      <c r="B4" s="227"/>
      <c r="C4" s="227"/>
      <c r="D4" s="227"/>
      <c r="E4" s="227"/>
      <c r="F4" s="227"/>
      <c r="G4" s="228"/>
      <c r="H4" s="76"/>
      <c r="J4" s="118"/>
      <c r="K4" s="83"/>
      <c r="L4" s="83"/>
      <c r="M4" s="83"/>
    </row>
    <row r="5" spans="1:13" ht="12.75">
      <c r="A5" s="156" t="s">
        <v>8</v>
      </c>
      <c r="B5" s="161" t="s">
        <v>37</v>
      </c>
      <c r="C5" s="88"/>
      <c r="D5" s="162"/>
      <c r="E5" s="162"/>
      <c r="F5" s="162"/>
      <c r="G5" s="163"/>
      <c r="H5" s="76"/>
      <c r="J5" s="118"/>
      <c r="K5" s="85"/>
      <c r="L5" s="86"/>
      <c r="M5" s="83"/>
    </row>
    <row r="6" spans="1:13" ht="12.75">
      <c r="A6" s="156" t="s">
        <v>9</v>
      </c>
      <c r="B6" s="87" t="s">
        <v>119</v>
      </c>
      <c r="C6" s="88"/>
      <c r="D6" s="89"/>
      <c r="E6" s="89"/>
      <c r="F6" s="89"/>
      <c r="G6" s="157"/>
      <c r="H6" s="76"/>
      <c r="J6" s="118"/>
      <c r="K6" s="85"/>
      <c r="L6" s="91"/>
      <c r="M6" s="83"/>
    </row>
    <row r="7" spans="1:12" ht="13.5" thickBot="1">
      <c r="A7" s="158"/>
      <c r="B7" s="92"/>
      <c r="C7" s="93"/>
      <c r="D7" s="89"/>
      <c r="E7" s="89"/>
      <c r="F7" s="89"/>
      <c r="G7" s="157"/>
      <c r="H7" s="76"/>
      <c r="J7" s="118"/>
      <c r="K7" s="85"/>
      <c r="L7" s="91"/>
    </row>
    <row r="8" spans="1:12" ht="24.75">
      <c r="A8" s="229" t="s">
        <v>0</v>
      </c>
      <c r="B8" s="231" t="s">
        <v>5</v>
      </c>
      <c r="C8" s="233" t="s">
        <v>6</v>
      </c>
      <c r="D8" s="235" t="s">
        <v>7</v>
      </c>
      <c r="E8" s="187" t="s">
        <v>33</v>
      </c>
      <c r="F8" s="188" t="s">
        <v>32</v>
      </c>
      <c r="G8" s="189" t="s">
        <v>29</v>
      </c>
      <c r="H8" s="76" t="s">
        <v>17</v>
      </c>
      <c r="J8" s="118" t="s">
        <v>40</v>
      </c>
      <c r="K8" s="85"/>
      <c r="L8" s="225"/>
    </row>
    <row r="9" spans="1:12" ht="19.5" customHeight="1" thickBot="1">
      <c r="A9" s="230"/>
      <c r="B9" s="232"/>
      <c r="C9" s="234"/>
      <c r="D9" s="236"/>
      <c r="E9" s="190" t="s">
        <v>16</v>
      </c>
      <c r="F9" s="191" t="s">
        <v>16</v>
      </c>
      <c r="G9" s="192" t="s">
        <v>16</v>
      </c>
      <c r="H9" s="76"/>
      <c r="J9" s="118"/>
      <c r="K9" s="85"/>
      <c r="L9" s="225"/>
    </row>
    <row r="10" spans="1:12" ht="12.75">
      <c r="A10" s="164">
        <v>1</v>
      </c>
      <c r="B10" s="165" t="s">
        <v>11</v>
      </c>
      <c r="C10" s="166"/>
      <c r="D10" s="167"/>
      <c r="E10" s="167"/>
      <c r="F10" s="167"/>
      <c r="G10" s="168"/>
      <c r="H10" s="76"/>
      <c r="J10" s="118"/>
      <c r="K10" s="85"/>
      <c r="L10" s="114"/>
    </row>
    <row r="11" spans="1:12" ht="12.75">
      <c r="A11" s="160" t="s">
        <v>23</v>
      </c>
      <c r="B11" s="100" t="s">
        <v>55</v>
      </c>
      <c r="C11" s="73" t="s">
        <v>56</v>
      </c>
      <c r="D11" s="74">
        <v>1</v>
      </c>
      <c r="E11" s="75">
        <v>250</v>
      </c>
      <c r="F11" s="75">
        <f>ROUND(E11*$J$1,2)</f>
        <v>320</v>
      </c>
      <c r="G11" s="159">
        <f>ROUND(F11*D11,2)</f>
        <v>320</v>
      </c>
      <c r="H11" s="76"/>
      <c r="J11" s="118"/>
      <c r="K11" s="85"/>
      <c r="L11" s="114"/>
    </row>
    <row r="12" spans="1:12" ht="12.75">
      <c r="A12" s="160" t="s">
        <v>1</v>
      </c>
      <c r="B12" s="100" t="s">
        <v>64</v>
      </c>
      <c r="C12" s="73" t="s">
        <v>3</v>
      </c>
      <c r="D12" s="74">
        <f>1.5*3</f>
        <v>4.5</v>
      </c>
      <c r="E12" s="75">
        <v>206.38</v>
      </c>
      <c r="F12" s="75">
        <f>ROUND(E12*$J$1,2)</f>
        <v>264.17</v>
      </c>
      <c r="G12" s="159">
        <f>ROUND(F12*D12,2)</f>
        <v>1188.77</v>
      </c>
      <c r="H12" s="85"/>
      <c r="J12" s="118" t="s">
        <v>92</v>
      </c>
      <c r="K12" s="85"/>
      <c r="L12" s="114"/>
    </row>
    <row r="13" spans="1:12" ht="12.75">
      <c r="A13" s="160" t="s">
        <v>57</v>
      </c>
      <c r="B13" s="100" t="s">
        <v>54</v>
      </c>
      <c r="C13" s="73" t="s">
        <v>2</v>
      </c>
      <c r="D13" s="74">
        <f>1289.48</f>
        <v>1289.48</v>
      </c>
      <c r="E13" s="75">
        <v>0.34</v>
      </c>
      <c r="F13" s="75">
        <f>ROUND(E13*$J$1,2)</f>
        <v>0.44</v>
      </c>
      <c r="G13" s="159">
        <f>ROUND(F13*D13,2)</f>
        <v>567.37</v>
      </c>
      <c r="H13" s="76"/>
      <c r="J13" s="118">
        <v>78472</v>
      </c>
      <c r="L13" s="114"/>
    </row>
    <row r="14" spans="1:12" ht="12.75" customHeight="1" thickBot="1">
      <c r="A14" s="160" t="s">
        <v>42</v>
      </c>
      <c r="B14" s="169" t="s">
        <v>59</v>
      </c>
      <c r="C14" s="170" t="s">
        <v>41</v>
      </c>
      <c r="D14" s="171">
        <v>10</v>
      </c>
      <c r="E14" s="172">
        <v>9.83</v>
      </c>
      <c r="F14" s="172">
        <f>ROUND(E14*$J$1,2)</f>
        <v>12.58</v>
      </c>
      <c r="G14" s="159">
        <f>ROUND(F14*D14,2)</f>
        <v>125.8</v>
      </c>
      <c r="H14" s="76"/>
      <c r="J14" s="118" t="s">
        <v>63</v>
      </c>
      <c r="K14" s="85"/>
      <c r="L14" s="114"/>
    </row>
    <row r="15" spans="1:12" s="97" customFormat="1" ht="13.5" thickBot="1">
      <c r="A15" s="193"/>
      <c r="B15" s="194" t="s">
        <v>24</v>
      </c>
      <c r="C15" s="195"/>
      <c r="D15" s="196"/>
      <c r="E15" s="197"/>
      <c r="F15" s="197"/>
      <c r="G15" s="198">
        <f>SUM(G11:G14)</f>
        <v>2201.94</v>
      </c>
      <c r="H15" s="98"/>
      <c r="J15" s="119"/>
      <c r="K15" s="85"/>
      <c r="L15" s="96"/>
    </row>
    <row r="16" spans="1:12" ht="19.5" customHeight="1">
      <c r="A16" s="221" t="s">
        <v>103</v>
      </c>
      <c r="B16" s="222"/>
      <c r="C16" s="222"/>
      <c r="D16" s="222"/>
      <c r="E16" s="222"/>
      <c r="F16" s="222"/>
      <c r="G16" s="223"/>
      <c r="H16" s="76"/>
      <c r="J16" s="118"/>
      <c r="K16" s="85"/>
      <c r="L16" s="114"/>
    </row>
    <row r="17" spans="1:13" s="97" customFormat="1" ht="12.75">
      <c r="A17" s="164">
        <v>2</v>
      </c>
      <c r="B17" s="165" t="s">
        <v>38</v>
      </c>
      <c r="C17" s="166"/>
      <c r="D17" s="167"/>
      <c r="E17" s="167"/>
      <c r="F17" s="167"/>
      <c r="G17" s="168"/>
      <c r="H17" s="98"/>
      <c r="J17" s="119"/>
      <c r="K17" s="90"/>
      <c r="L17" s="96"/>
      <c r="M17" s="99"/>
    </row>
    <row r="18" spans="1:13" s="216" customFormat="1" ht="12.75">
      <c r="A18" s="210" t="s">
        <v>10</v>
      </c>
      <c r="B18" s="100" t="s">
        <v>100</v>
      </c>
      <c r="C18" s="211" t="s">
        <v>3</v>
      </c>
      <c r="D18" s="212">
        <f>243.86*0.22</f>
        <v>53.6492</v>
      </c>
      <c r="E18" s="213">
        <v>3.51</v>
      </c>
      <c r="F18" s="213">
        <f>ROUND(E18*$J$1,2)</f>
        <v>4.49</v>
      </c>
      <c r="G18" s="214">
        <f>ROUND(F18*D18,2)</f>
        <v>240.88</v>
      </c>
      <c r="H18" s="215"/>
      <c r="J18" s="217" t="s">
        <v>60</v>
      </c>
      <c r="K18" s="218"/>
      <c r="L18" s="219"/>
      <c r="M18" s="220"/>
    </row>
    <row r="19" spans="1:13" s="182" customFormat="1" ht="13.5" thickBot="1">
      <c r="A19" s="175" t="s">
        <v>31</v>
      </c>
      <c r="B19" s="177" t="s">
        <v>75</v>
      </c>
      <c r="C19" s="178" t="s">
        <v>3</v>
      </c>
      <c r="D19" s="179">
        <f>D18</f>
        <v>53.6492</v>
      </c>
      <c r="E19" s="180">
        <v>11.22</v>
      </c>
      <c r="F19" s="180">
        <f>ROUND(E19*$J$1,2)</f>
        <v>14.36</v>
      </c>
      <c r="G19" s="214">
        <f>ROUND(F19*D19,2)</f>
        <v>770.4</v>
      </c>
      <c r="H19" s="181"/>
      <c r="J19" s="183" t="s">
        <v>93</v>
      </c>
      <c r="K19" s="184"/>
      <c r="L19" s="185"/>
      <c r="M19" s="186"/>
    </row>
    <row r="20" spans="1:12" s="97" customFormat="1" ht="13.5" thickBot="1">
      <c r="A20" s="193"/>
      <c r="B20" s="194" t="s">
        <v>24</v>
      </c>
      <c r="C20" s="195"/>
      <c r="D20" s="196"/>
      <c r="E20" s="197"/>
      <c r="F20" s="197"/>
      <c r="G20" s="198">
        <f>SUM(G18:G19)</f>
        <v>1011.28</v>
      </c>
      <c r="H20" s="98"/>
      <c r="J20" s="119"/>
      <c r="K20" s="85"/>
      <c r="L20" s="96"/>
    </row>
    <row r="21" spans="1:12" s="97" customFormat="1" ht="12.75">
      <c r="A21" s="164">
        <v>3</v>
      </c>
      <c r="B21" s="165" t="s">
        <v>39</v>
      </c>
      <c r="C21" s="166"/>
      <c r="D21" s="167"/>
      <c r="E21" s="167"/>
      <c r="F21" s="167"/>
      <c r="G21" s="168"/>
      <c r="H21" s="101"/>
      <c r="I21" s="111"/>
      <c r="J21" s="119"/>
      <c r="K21" s="85"/>
      <c r="L21" s="96"/>
    </row>
    <row r="22" spans="1:12" s="97" customFormat="1" ht="12.75">
      <c r="A22" s="160" t="s">
        <v>27</v>
      </c>
      <c r="B22" s="94" t="s">
        <v>95</v>
      </c>
      <c r="C22" s="73" t="s">
        <v>3</v>
      </c>
      <c r="D22" s="75">
        <f>243.86*0.1</f>
        <v>24.386000000000003</v>
      </c>
      <c r="E22" s="75">
        <f>8.13+93</f>
        <v>101.13</v>
      </c>
      <c r="F22" s="75">
        <f>ROUND(E22*$J$1,2)</f>
        <v>129.45</v>
      </c>
      <c r="G22" s="159">
        <f>ROUND(+F22*D22,2)</f>
        <v>3156.77</v>
      </c>
      <c r="H22" s="101"/>
      <c r="I22" s="111"/>
      <c r="J22" s="119">
        <v>73710</v>
      </c>
      <c r="K22" s="85"/>
      <c r="L22" s="96"/>
    </row>
    <row r="23" spans="1:13" s="97" customFormat="1" ht="22.5">
      <c r="A23" s="160" t="s">
        <v>28</v>
      </c>
      <c r="B23" s="94" t="s">
        <v>96</v>
      </c>
      <c r="C23" s="73" t="s">
        <v>3</v>
      </c>
      <c r="D23" s="75">
        <f>243.86*0.12</f>
        <v>29.2632</v>
      </c>
      <c r="E23" s="75">
        <v>380</v>
      </c>
      <c r="F23" s="75">
        <f>ROUND(E23*$J$1,2)</f>
        <v>486.4</v>
      </c>
      <c r="G23" s="159">
        <f>ROUND(+F23*D23,2)</f>
        <v>14233.62</v>
      </c>
      <c r="H23" s="101"/>
      <c r="J23" s="119" t="s">
        <v>71</v>
      </c>
      <c r="K23" s="119" t="s">
        <v>72</v>
      </c>
      <c r="L23" s="209"/>
      <c r="M23" s="99"/>
    </row>
    <row r="24" spans="1:13" s="97" customFormat="1" ht="13.5" thickBot="1">
      <c r="A24" s="160" t="s">
        <v>58</v>
      </c>
      <c r="B24" s="94" t="s">
        <v>97</v>
      </c>
      <c r="C24" s="73" t="s">
        <v>76</v>
      </c>
      <c r="D24" s="75">
        <f>6.4*243.86</f>
        <v>1560.7040000000002</v>
      </c>
      <c r="E24" s="75">
        <f>3.08+2.19+0.11</f>
        <v>5.38</v>
      </c>
      <c r="F24" s="75">
        <f>ROUND(E24*$J$1,2)</f>
        <v>6.89</v>
      </c>
      <c r="G24" s="159">
        <f>ROUND(+F24*D24,2)</f>
        <v>10753.25</v>
      </c>
      <c r="H24" s="101"/>
      <c r="J24" s="119" t="s">
        <v>98</v>
      </c>
      <c r="K24" s="119"/>
      <c r="L24" s="96"/>
      <c r="M24" s="99"/>
    </row>
    <row r="25" spans="1:12" s="97" customFormat="1" ht="13.5" thickBot="1">
      <c r="A25" s="193"/>
      <c r="B25" s="194" t="s">
        <v>24</v>
      </c>
      <c r="C25" s="195"/>
      <c r="D25" s="196"/>
      <c r="E25" s="197"/>
      <c r="F25" s="197"/>
      <c r="G25" s="198">
        <f>SUM(G22:G24)</f>
        <v>28143.64</v>
      </c>
      <c r="H25" s="98"/>
      <c r="J25" s="119"/>
      <c r="K25" s="85"/>
      <c r="L25" s="96"/>
    </row>
    <row r="26" spans="1:12" s="97" customFormat="1" ht="13.5" thickBot="1">
      <c r="A26" s="199"/>
      <c r="B26" s="200" t="s">
        <v>86</v>
      </c>
      <c r="C26" s="201"/>
      <c r="D26" s="202"/>
      <c r="E26" s="203"/>
      <c r="F26" s="203"/>
      <c r="G26" s="204">
        <f>G25+G20</f>
        <v>29154.92</v>
      </c>
      <c r="H26" s="98"/>
      <c r="J26" s="119"/>
      <c r="K26" s="85"/>
      <c r="L26" s="96"/>
    </row>
    <row r="27" spans="1:12" ht="19.5" customHeight="1">
      <c r="A27" s="221" t="s">
        <v>104</v>
      </c>
      <c r="B27" s="222"/>
      <c r="C27" s="222"/>
      <c r="D27" s="222"/>
      <c r="E27" s="222"/>
      <c r="F27" s="222"/>
      <c r="G27" s="223"/>
      <c r="H27" s="76"/>
      <c r="J27" s="118"/>
      <c r="K27" s="85"/>
      <c r="L27" s="114"/>
    </row>
    <row r="28" spans="1:13" s="97" customFormat="1" ht="12.75">
      <c r="A28" s="164">
        <v>4</v>
      </c>
      <c r="B28" s="165" t="s">
        <v>38</v>
      </c>
      <c r="C28" s="166"/>
      <c r="D28" s="167"/>
      <c r="E28" s="167"/>
      <c r="F28" s="167"/>
      <c r="G28" s="168"/>
      <c r="H28" s="98"/>
      <c r="J28" s="119"/>
      <c r="K28" s="90"/>
      <c r="L28" s="96"/>
      <c r="M28" s="99"/>
    </row>
    <row r="29" spans="1:13" s="97" customFormat="1" ht="12.75">
      <c r="A29" s="160" t="s">
        <v>69</v>
      </c>
      <c r="B29" s="100" t="s">
        <v>100</v>
      </c>
      <c r="C29" s="73" t="s">
        <v>3</v>
      </c>
      <c r="D29" s="74">
        <f>359.56*0.22</f>
        <v>79.1032</v>
      </c>
      <c r="E29" s="75">
        <v>3.51</v>
      </c>
      <c r="F29" s="75">
        <f>ROUND(E29*$J$1,2)</f>
        <v>4.49</v>
      </c>
      <c r="G29" s="159">
        <f>ROUND(F29*D29,2)</f>
        <v>355.17</v>
      </c>
      <c r="H29" s="98"/>
      <c r="J29" s="119" t="s">
        <v>60</v>
      </c>
      <c r="K29" s="90"/>
      <c r="L29" s="96"/>
      <c r="M29" s="125"/>
    </row>
    <row r="30" spans="1:13" s="182" customFormat="1" ht="13.5" thickBot="1">
      <c r="A30" s="160" t="s">
        <v>70</v>
      </c>
      <c r="B30" s="177" t="s">
        <v>75</v>
      </c>
      <c r="C30" s="178" t="s">
        <v>3</v>
      </c>
      <c r="D30" s="179">
        <f>D29</f>
        <v>79.1032</v>
      </c>
      <c r="E30" s="180">
        <v>11.22</v>
      </c>
      <c r="F30" s="180">
        <f>ROUND(E30*$J$1,2)</f>
        <v>14.36</v>
      </c>
      <c r="G30" s="159">
        <f>ROUND(F30*D30,2)</f>
        <v>1135.92</v>
      </c>
      <c r="H30" s="181"/>
      <c r="J30" s="183" t="s">
        <v>93</v>
      </c>
      <c r="K30" s="184"/>
      <c r="L30" s="185"/>
      <c r="M30" s="186"/>
    </row>
    <row r="31" spans="1:12" s="97" customFormat="1" ht="13.5" thickBot="1">
      <c r="A31" s="193"/>
      <c r="B31" s="194" t="s">
        <v>24</v>
      </c>
      <c r="C31" s="195"/>
      <c r="D31" s="196"/>
      <c r="E31" s="197"/>
      <c r="F31" s="197"/>
      <c r="G31" s="198">
        <f>SUM(G29:G30)</f>
        <v>1491.0900000000001</v>
      </c>
      <c r="H31" s="98"/>
      <c r="J31" s="119"/>
      <c r="K31" s="85"/>
      <c r="L31" s="96"/>
    </row>
    <row r="32" spans="1:12" s="97" customFormat="1" ht="12.75">
      <c r="A32" s="164">
        <v>5</v>
      </c>
      <c r="B32" s="165" t="s">
        <v>39</v>
      </c>
      <c r="C32" s="166"/>
      <c r="D32" s="167"/>
      <c r="E32" s="167"/>
      <c r="F32" s="167"/>
      <c r="G32" s="168"/>
      <c r="H32" s="101"/>
      <c r="I32" s="111"/>
      <c r="J32" s="119"/>
      <c r="K32" s="85"/>
      <c r="L32" s="96"/>
    </row>
    <row r="33" spans="1:12" s="97" customFormat="1" ht="12.75">
      <c r="A33" s="160" t="s">
        <v>77</v>
      </c>
      <c r="B33" s="94" t="s">
        <v>95</v>
      </c>
      <c r="C33" s="73" t="s">
        <v>3</v>
      </c>
      <c r="D33" s="75">
        <f>359.56*0.1</f>
        <v>35.956</v>
      </c>
      <c r="E33" s="75">
        <f>8.13+93</f>
        <v>101.13</v>
      </c>
      <c r="F33" s="75">
        <f>ROUND(E33*$J$1,2)</f>
        <v>129.45</v>
      </c>
      <c r="G33" s="159">
        <f>ROUND(+F33*D33,2)</f>
        <v>4654.5</v>
      </c>
      <c r="H33" s="101"/>
      <c r="I33" s="111"/>
      <c r="J33" s="119">
        <v>73710</v>
      </c>
      <c r="K33" s="85"/>
      <c r="L33" s="96"/>
    </row>
    <row r="34" spans="1:13" s="97" customFormat="1" ht="22.5">
      <c r="A34" s="160" t="s">
        <v>78</v>
      </c>
      <c r="B34" s="94" t="s">
        <v>96</v>
      </c>
      <c r="C34" s="73" t="s">
        <v>3</v>
      </c>
      <c r="D34" s="75">
        <f>359.56*0.12</f>
        <v>43.1472</v>
      </c>
      <c r="E34" s="75">
        <v>380</v>
      </c>
      <c r="F34" s="75">
        <f>ROUND(E34*$J$1,2)</f>
        <v>486.4</v>
      </c>
      <c r="G34" s="159">
        <f>ROUND(+F34*D34,2)</f>
        <v>20986.8</v>
      </c>
      <c r="H34" s="101"/>
      <c r="J34" s="119" t="s">
        <v>71</v>
      </c>
      <c r="K34" s="119" t="s">
        <v>72</v>
      </c>
      <c r="L34" s="209"/>
      <c r="M34" s="99"/>
    </row>
    <row r="35" spans="1:13" s="97" customFormat="1" ht="13.5" thickBot="1">
      <c r="A35" s="160" t="s">
        <v>79</v>
      </c>
      <c r="B35" s="94" t="s">
        <v>97</v>
      </c>
      <c r="C35" s="73" t="s">
        <v>76</v>
      </c>
      <c r="D35" s="75">
        <f>6.4*359.56</f>
        <v>2301.184</v>
      </c>
      <c r="E35" s="75">
        <f>3.08+2.19+0.11</f>
        <v>5.38</v>
      </c>
      <c r="F35" s="75">
        <f>ROUND(E35*$J$1,2)</f>
        <v>6.89</v>
      </c>
      <c r="G35" s="159">
        <f>ROUND(+F35*D35,2)</f>
        <v>15855.16</v>
      </c>
      <c r="H35" s="101"/>
      <c r="J35" s="119" t="s">
        <v>98</v>
      </c>
      <c r="K35" s="119"/>
      <c r="L35" s="96"/>
      <c r="M35" s="99"/>
    </row>
    <row r="36" spans="1:12" s="97" customFormat="1" ht="13.5" thickBot="1">
      <c r="A36" s="193"/>
      <c r="B36" s="194" t="s">
        <v>24</v>
      </c>
      <c r="C36" s="195"/>
      <c r="D36" s="196"/>
      <c r="E36" s="197"/>
      <c r="F36" s="197"/>
      <c r="G36" s="198">
        <f>SUM(G33:G35)</f>
        <v>41496.46</v>
      </c>
      <c r="H36" s="98"/>
      <c r="J36" s="119"/>
      <c r="K36" s="85"/>
      <c r="L36" s="96"/>
    </row>
    <row r="37" spans="1:12" s="97" customFormat="1" ht="13.5" thickBot="1">
      <c r="A37" s="199"/>
      <c r="B37" s="200" t="s">
        <v>87</v>
      </c>
      <c r="C37" s="201"/>
      <c r="D37" s="202"/>
      <c r="E37" s="203"/>
      <c r="F37" s="203"/>
      <c r="G37" s="204">
        <f>G36+G31</f>
        <v>42987.55</v>
      </c>
      <c r="H37" s="98"/>
      <c r="J37" s="119"/>
      <c r="K37" s="85"/>
      <c r="L37" s="96"/>
    </row>
    <row r="38" spans="1:12" ht="19.5" customHeight="1">
      <c r="A38" s="221" t="s">
        <v>118</v>
      </c>
      <c r="B38" s="222"/>
      <c r="C38" s="222"/>
      <c r="D38" s="222"/>
      <c r="E38" s="222"/>
      <c r="F38" s="222"/>
      <c r="G38" s="223"/>
      <c r="H38" s="76"/>
      <c r="J38" s="118"/>
      <c r="K38" s="85"/>
      <c r="L38" s="114"/>
    </row>
    <row r="39" spans="1:13" s="97" customFormat="1" ht="12.75">
      <c r="A39" s="164">
        <v>6</v>
      </c>
      <c r="B39" s="165" t="s">
        <v>38</v>
      </c>
      <c r="C39" s="166"/>
      <c r="D39" s="167"/>
      <c r="E39" s="167"/>
      <c r="F39" s="167"/>
      <c r="G39" s="168"/>
      <c r="H39" s="98"/>
      <c r="J39" s="119"/>
      <c r="K39" s="90"/>
      <c r="L39" s="96"/>
      <c r="M39" s="99"/>
    </row>
    <row r="40" spans="1:13" s="97" customFormat="1" ht="12.75">
      <c r="A40" s="160" t="s">
        <v>80</v>
      </c>
      <c r="B40" s="100" t="s">
        <v>46</v>
      </c>
      <c r="C40" s="73" t="s">
        <v>3</v>
      </c>
      <c r="D40" s="74">
        <f>132.09*0.1</f>
        <v>13.209000000000001</v>
      </c>
      <c r="E40" s="75">
        <v>36.99</v>
      </c>
      <c r="F40" s="75">
        <f>ROUND(E40*$J$1,2)</f>
        <v>47.35</v>
      </c>
      <c r="G40" s="159">
        <f>ROUND(F40*D40,2)</f>
        <v>625.45</v>
      </c>
      <c r="H40" s="98"/>
      <c r="J40" s="119" t="s">
        <v>51</v>
      </c>
      <c r="K40" s="90"/>
      <c r="L40" s="96"/>
      <c r="M40" s="99"/>
    </row>
    <row r="41" spans="1:13" s="97" customFormat="1" ht="12.75">
      <c r="A41" s="160" t="s">
        <v>81</v>
      </c>
      <c r="B41" s="100" t="s">
        <v>74</v>
      </c>
      <c r="C41" s="73" t="s">
        <v>3</v>
      </c>
      <c r="D41" s="74">
        <f>D40</f>
        <v>13.209000000000001</v>
      </c>
      <c r="E41" s="75">
        <v>11.22</v>
      </c>
      <c r="F41" s="75">
        <f>ROUND(E41*$J$1,2)</f>
        <v>14.36</v>
      </c>
      <c r="G41" s="159">
        <f>ROUND(F41*D41,2)</f>
        <v>189.68</v>
      </c>
      <c r="H41" s="98"/>
      <c r="J41" s="119" t="s">
        <v>93</v>
      </c>
      <c r="K41" s="90"/>
      <c r="L41" s="96"/>
      <c r="M41" s="99"/>
    </row>
    <row r="42" spans="1:13" s="97" customFormat="1" ht="12.75">
      <c r="A42" s="160" t="s">
        <v>82</v>
      </c>
      <c r="B42" s="100" t="s">
        <v>100</v>
      </c>
      <c r="C42" s="73" t="s">
        <v>3</v>
      </c>
      <c r="D42" s="74">
        <f>132.09*0.22</f>
        <v>29.0598</v>
      </c>
      <c r="E42" s="75">
        <v>3.51</v>
      </c>
      <c r="F42" s="75">
        <f>ROUND(E42*$J$1,2)</f>
        <v>4.49</v>
      </c>
      <c r="G42" s="159">
        <f>ROUND(F42*D42,2)</f>
        <v>130.48</v>
      </c>
      <c r="H42" s="98"/>
      <c r="J42" s="119" t="s">
        <v>60</v>
      </c>
      <c r="K42" s="90"/>
      <c r="L42" s="96"/>
      <c r="M42" s="125"/>
    </row>
    <row r="43" spans="1:13" s="182" customFormat="1" ht="13.5" thickBot="1">
      <c r="A43" s="160" t="s">
        <v>107</v>
      </c>
      <c r="B43" s="177" t="s">
        <v>75</v>
      </c>
      <c r="C43" s="178" t="s">
        <v>3</v>
      </c>
      <c r="D43" s="179">
        <f>D42</f>
        <v>29.0598</v>
      </c>
      <c r="E43" s="180">
        <v>11.22</v>
      </c>
      <c r="F43" s="180">
        <f>ROUND(E43*$J$1,2)</f>
        <v>14.36</v>
      </c>
      <c r="G43" s="159">
        <f>ROUND(F43*D43,2)</f>
        <v>417.3</v>
      </c>
      <c r="H43" s="181"/>
      <c r="J43" s="183" t="s">
        <v>93</v>
      </c>
      <c r="K43" s="184"/>
      <c r="L43" s="185"/>
      <c r="M43" s="186"/>
    </row>
    <row r="44" spans="1:12" s="97" customFormat="1" ht="13.5" thickBot="1">
      <c r="A44" s="193"/>
      <c r="B44" s="194" t="s">
        <v>24</v>
      </c>
      <c r="C44" s="195"/>
      <c r="D44" s="196"/>
      <c r="E44" s="197"/>
      <c r="F44" s="197"/>
      <c r="G44" s="198">
        <f>SUM(G40:G43)</f>
        <v>1362.91</v>
      </c>
      <c r="H44" s="98"/>
      <c r="J44" s="119"/>
      <c r="K44" s="85"/>
      <c r="L44" s="96"/>
    </row>
    <row r="45" spans="1:12" s="97" customFormat="1" ht="12.75">
      <c r="A45" s="164">
        <v>7</v>
      </c>
      <c r="B45" s="165" t="s">
        <v>39</v>
      </c>
      <c r="C45" s="166"/>
      <c r="D45" s="167"/>
      <c r="E45" s="167"/>
      <c r="F45" s="167"/>
      <c r="G45" s="168"/>
      <c r="H45" s="101"/>
      <c r="I45" s="111"/>
      <c r="J45" s="119"/>
      <c r="K45" s="85"/>
      <c r="L45" s="96"/>
    </row>
    <row r="46" spans="1:12" s="97" customFormat="1" ht="12.75">
      <c r="A46" s="160" t="s">
        <v>83</v>
      </c>
      <c r="B46" s="94" t="s">
        <v>95</v>
      </c>
      <c r="C46" s="73" t="s">
        <v>3</v>
      </c>
      <c r="D46" s="75">
        <f>132.09*0.1</f>
        <v>13.209000000000001</v>
      </c>
      <c r="E46" s="75">
        <f>8.13+93</f>
        <v>101.13</v>
      </c>
      <c r="F46" s="75">
        <f>ROUND(E46*$J$1,2)</f>
        <v>129.45</v>
      </c>
      <c r="G46" s="159">
        <f>ROUND(+F46*D46,2)</f>
        <v>1709.91</v>
      </c>
      <c r="H46" s="101"/>
      <c r="I46" s="111"/>
      <c r="J46" s="119">
        <v>73710</v>
      </c>
      <c r="K46" s="85"/>
      <c r="L46" s="96"/>
    </row>
    <row r="47" spans="1:13" s="97" customFormat="1" ht="22.5">
      <c r="A47" s="160" t="s">
        <v>84</v>
      </c>
      <c r="B47" s="94" t="s">
        <v>96</v>
      </c>
      <c r="C47" s="73" t="s">
        <v>3</v>
      </c>
      <c r="D47" s="75">
        <f>132.09*0.12</f>
        <v>15.8508</v>
      </c>
      <c r="E47" s="75">
        <v>380</v>
      </c>
      <c r="F47" s="75">
        <f>ROUND(E47*$J$1,2)</f>
        <v>486.4</v>
      </c>
      <c r="G47" s="159">
        <f>ROUND(+F47*D47,2)</f>
        <v>7709.83</v>
      </c>
      <c r="H47" s="101"/>
      <c r="J47" s="119" t="s">
        <v>71</v>
      </c>
      <c r="K47" s="119" t="s">
        <v>72</v>
      </c>
      <c r="L47" s="209"/>
      <c r="M47" s="99"/>
    </row>
    <row r="48" spans="1:13" s="97" customFormat="1" ht="13.5" thickBot="1">
      <c r="A48" s="160" t="s">
        <v>85</v>
      </c>
      <c r="B48" s="94" t="s">
        <v>97</v>
      </c>
      <c r="C48" s="73" t="s">
        <v>76</v>
      </c>
      <c r="D48" s="75">
        <f>6.4*132.09</f>
        <v>845.3760000000001</v>
      </c>
      <c r="E48" s="75">
        <f>3.08+2.19+0.11</f>
        <v>5.38</v>
      </c>
      <c r="F48" s="75">
        <f>ROUND(E48*$J$1,2)</f>
        <v>6.89</v>
      </c>
      <c r="G48" s="159">
        <f>ROUND(+F48*D48,2)</f>
        <v>5824.64</v>
      </c>
      <c r="H48" s="101"/>
      <c r="J48" s="119" t="s">
        <v>98</v>
      </c>
      <c r="K48" s="119"/>
      <c r="L48" s="96"/>
      <c r="M48" s="99"/>
    </row>
    <row r="49" spans="1:12" s="97" customFormat="1" ht="13.5" thickBot="1">
      <c r="A49" s="193"/>
      <c r="B49" s="194" t="s">
        <v>24</v>
      </c>
      <c r="C49" s="195"/>
      <c r="D49" s="196"/>
      <c r="E49" s="197"/>
      <c r="F49" s="197"/>
      <c r="G49" s="198">
        <f>SUM(G46:G48)</f>
        <v>15244.380000000001</v>
      </c>
      <c r="H49" s="98"/>
      <c r="J49" s="119"/>
      <c r="K49" s="85"/>
      <c r="L49" s="96"/>
    </row>
    <row r="50" spans="1:13" s="97" customFormat="1" ht="12.75">
      <c r="A50" s="164">
        <v>8</v>
      </c>
      <c r="B50" s="165" t="s">
        <v>35</v>
      </c>
      <c r="C50" s="166"/>
      <c r="D50" s="173"/>
      <c r="E50" s="167"/>
      <c r="F50" s="167"/>
      <c r="G50" s="174"/>
      <c r="H50" s="101"/>
      <c r="J50" s="119"/>
      <c r="K50" s="102"/>
      <c r="L50" s="96"/>
      <c r="M50" s="126"/>
    </row>
    <row r="51" spans="1:13" s="97" customFormat="1" ht="12.75">
      <c r="A51" s="160" t="s">
        <v>101</v>
      </c>
      <c r="B51" s="94" t="s">
        <v>44</v>
      </c>
      <c r="C51" s="73" t="s">
        <v>3</v>
      </c>
      <c r="D51" s="74">
        <f>67*(0.5*0.3)</f>
        <v>10.049999999999999</v>
      </c>
      <c r="E51" s="75">
        <v>34.71</v>
      </c>
      <c r="F51" s="75">
        <f>ROUND(E51*$J$1,2)</f>
        <v>44.43</v>
      </c>
      <c r="G51" s="159">
        <f>ROUND(F51*D51,2)</f>
        <v>446.52</v>
      </c>
      <c r="H51" s="101"/>
      <c r="J51" s="119" t="s">
        <v>45</v>
      </c>
      <c r="K51" s="102"/>
      <c r="L51" s="96"/>
      <c r="M51" s="126"/>
    </row>
    <row r="52" spans="1:13" s="97" customFormat="1" ht="12.75">
      <c r="A52" s="160" t="s">
        <v>102</v>
      </c>
      <c r="B52" s="100" t="s">
        <v>75</v>
      </c>
      <c r="C52" s="73" t="s">
        <v>3</v>
      </c>
      <c r="D52" s="74">
        <f>D51</f>
        <v>10.049999999999999</v>
      </c>
      <c r="E52" s="75">
        <v>11.22</v>
      </c>
      <c r="F52" s="75">
        <f>ROUND(E52*$J$1,2)</f>
        <v>14.36</v>
      </c>
      <c r="G52" s="159">
        <f>ROUND(F52*D52,2)</f>
        <v>144.32</v>
      </c>
      <c r="H52" s="98"/>
      <c r="J52" s="183" t="s">
        <v>93</v>
      </c>
      <c r="K52" s="90"/>
      <c r="L52" s="96"/>
      <c r="M52" s="99"/>
    </row>
    <row r="53" spans="1:12" s="97" customFormat="1" ht="12.75">
      <c r="A53" s="160" t="s">
        <v>108</v>
      </c>
      <c r="B53" s="94" t="s">
        <v>65</v>
      </c>
      <c r="C53" s="73" t="s">
        <v>3</v>
      </c>
      <c r="D53" s="74">
        <f>67*(0.5*0.05)</f>
        <v>1.675</v>
      </c>
      <c r="E53" s="180">
        <v>341.79</v>
      </c>
      <c r="F53" s="75">
        <f>ROUND(E53*$J$1,2)</f>
        <v>437.49</v>
      </c>
      <c r="G53" s="159">
        <f>ROUND(F53*D53,2)</f>
        <v>732.8</v>
      </c>
      <c r="H53" s="101"/>
      <c r="J53" s="119" t="s">
        <v>62</v>
      </c>
      <c r="K53" s="102"/>
      <c r="L53" s="96"/>
    </row>
    <row r="54" spans="1:12" ht="22.5">
      <c r="A54" s="160" t="s">
        <v>109</v>
      </c>
      <c r="B54" s="94" t="s">
        <v>73</v>
      </c>
      <c r="C54" s="73" t="s">
        <v>41</v>
      </c>
      <c r="D54" s="74">
        <v>67</v>
      </c>
      <c r="E54" s="75">
        <v>27.92</v>
      </c>
      <c r="F54" s="75">
        <f>ROUND(E54*$J$1,2)</f>
        <v>35.74</v>
      </c>
      <c r="G54" s="159">
        <f>ROUND(F54*D54,2)</f>
        <v>2394.58</v>
      </c>
      <c r="H54" s="77"/>
      <c r="J54" s="121" t="s">
        <v>99</v>
      </c>
      <c r="K54" s="83"/>
      <c r="L54" s="103"/>
    </row>
    <row r="55" spans="1:12" s="97" customFormat="1" ht="12.75">
      <c r="A55" s="199"/>
      <c r="B55" s="200" t="s">
        <v>24</v>
      </c>
      <c r="C55" s="201"/>
      <c r="D55" s="202"/>
      <c r="E55" s="203"/>
      <c r="F55" s="203"/>
      <c r="G55" s="204">
        <f>SUM(G51:G54)</f>
        <v>3718.22</v>
      </c>
      <c r="H55" s="98"/>
      <c r="J55" s="119"/>
      <c r="K55" s="85"/>
      <c r="L55" s="96"/>
    </row>
    <row r="56" spans="1:12" s="97" customFormat="1" ht="13.5" thickBot="1">
      <c r="A56" s="199"/>
      <c r="B56" s="200" t="s">
        <v>91</v>
      </c>
      <c r="C56" s="201"/>
      <c r="D56" s="202"/>
      <c r="E56" s="203"/>
      <c r="F56" s="203"/>
      <c r="G56" s="204">
        <f>G55+G49+G44</f>
        <v>20325.510000000002</v>
      </c>
      <c r="H56" s="98"/>
      <c r="J56" s="119"/>
      <c r="K56" s="85"/>
      <c r="L56" s="96"/>
    </row>
    <row r="57" spans="1:12" ht="19.5" customHeight="1">
      <c r="A57" s="221" t="s">
        <v>105</v>
      </c>
      <c r="B57" s="222"/>
      <c r="C57" s="222"/>
      <c r="D57" s="222"/>
      <c r="E57" s="222"/>
      <c r="F57" s="222"/>
      <c r="G57" s="223"/>
      <c r="H57" s="76"/>
      <c r="J57" s="118"/>
      <c r="K57" s="85"/>
      <c r="L57" s="114"/>
    </row>
    <row r="58" spans="1:13" s="97" customFormat="1" ht="12.75">
      <c r="A58" s="164">
        <v>9</v>
      </c>
      <c r="B58" s="165" t="s">
        <v>38</v>
      </c>
      <c r="C58" s="166"/>
      <c r="D58" s="167"/>
      <c r="E58" s="167"/>
      <c r="F58" s="167"/>
      <c r="G58" s="168"/>
      <c r="H58" s="98"/>
      <c r="J58" s="119"/>
      <c r="K58" s="90"/>
      <c r="L58" s="96"/>
      <c r="M58" s="99"/>
    </row>
    <row r="59" spans="1:13" s="97" customFormat="1" ht="12.75">
      <c r="A59" s="175" t="s">
        <v>88</v>
      </c>
      <c r="B59" s="100" t="s">
        <v>100</v>
      </c>
      <c r="C59" s="73" t="s">
        <v>3</v>
      </c>
      <c r="D59" s="74">
        <f>337.53*0.22</f>
        <v>74.25659999999999</v>
      </c>
      <c r="E59" s="75">
        <v>3.51</v>
      </c>
      <c r="F59" s="75">
        <f>ROUND(E59*$J$1,2)</f>
        <v>4.49</v>
      </c>
      <c r="G59" s="159">
        <f>ROUND(F59*D59,2)</f>
        <v>333.41</v>
      </c>
      <c r="H59" s="98"/>
      <c r="J59" s="119" t="s">
        <v>60</v>
      </c>
      <c r="K59" s="90"/>
      <c r="L59" s="96"/>
      <c r="M59" s="125"/>
    </row>
    <row r="60" spans="1:13" s="97" customFormat="1" ht="12.75">
      <c r="A60" s="175" t="s">
        <v>89</v>
      </c>
      <c r="B60" s="100" t="s">
        <v>75</v>
      </c>
      <c r="C60" s="73" t="s">
        <v>3</v>
      </c>
      <c r="D60" s="74">
        <f>D59</f>
        <v>74.25659999999999</v>
      </c>
      <c r="E60" s="75">
        <v>11.22</v>
      </c>
      <c r="F60" s="75">
        <f>ROUND(E60*$J$1,2)</f>
        <v>14.36</v>
      </c>
      <c r="G60" s="159">
        <f>ROUND(F60*D60,2)</f>
        <v>1066.32</v>
      </c>
      <c r="H60" s="98"/>
      <c r="J60" s="119">
        <v>72841</v>
      </c>
      <c r="K60" s="90"/>
      <c r="L60" s="96"/>
      <c r="M60" s="99"/>
    </row>
    <row r="61" spans="1:13" s="97" customFormat="1" ht="22.5">
      <c r="A61" s="175" t="s">
        <v>90</v>
      </c>
      <c r="B61" s="100" t="s">
        <v>61</v>
      </c>
      <c r="C61" s="73" t="s">
        <v>3</v>
      </c>
      <c r="D61" s="74">
        <f>68.52*0.6</f>
        <v>41.111999999999995</v>
      </c>
      <c r="E61" s="75">
        <v>27.13</v>
      </c>
      <c r="F61" s="75">
        <f>ROUND(E61*$J$1,2)</f>
        <v>34.73</v>
      </c>
      <c r="G61" s="159">
        <f>ROUND(F61*D61,2)</f>
        <v>1427.82</v>
      </c>
      <c r="H61" s="98"/>
      <c r="J61" s="119" t="s">
        <v>66</v>
      </c>
      <c r="K61" s="90"/>
      <c r="L61" s="96"/>
      <c r="M61" s="125"/>
    </row>
    <row r="62" spans="1:13" s="97" customFormat="1" ht="13.5" thickBot="1">
      <c r="A62" s="175" t="s">
        <v>110</v>
      </c>
      <c r="B62" s="169" t="s">
        <v>67</v>
      </c>
      <c r="C62" s="170" t="s">
        <v>3</v>
      </c>
      <c r="D62" s="171">
        <f>D61</f>
        <v>41.111999999999995</v>
      </c>
      <c r="E62" s="172">
        <v>14.39</v>
      </c>
      <c r="F62" s="75">
        <f>ROUND(E62*$J$1,2)</f>
        <v>18.42</v>
      </c>
      <c r="G62" s="159">
        <f>ROUND(F62*D62,2)</f>
        <v>757.28</v>
      </c>
      <c r="H62" s="98"/>
      <c r="J62" s="119">
        <v>72841</v>
      </c>
      <c r="K62" s="90"/>
      <c r="L62" s="96"/>
      <c r="M62" s="125"/>
    </row>
    <row r="63" spans="1:12" s="97" customFormat="1" ht="13.5" thickBot="1">
      <c r="A63" s="193"/>
      <c r="B63" s="194" t="s">
        <v>24</v>
      </c>
      <c r="C63" s="195"/>
      <c r="D63" s="196"/>
      <c r="E63" s="197"/>
      <c r="F63" s="197"/>
      <c r="G63" s="198">
        <f>SUM(G59:G62)</f>
        <v>3584.83</v>
      </c>
      <c r="H63" s="98"/>
      <c r="J63" s="119"/>
      <c r="K63" s="85"/>
      <c r="L63" s="96"/>
    </row>
    <row r="64" spans="1:12" s="97" customFormat="1" ht="12.75">
      <c r="A64" s="164">
        <v>10</v>
      </c>
      <c r="B64" s="165" t="s">
        <v>39</v>
      </c>
      <c r="C64" s="166"/>
      <c r="D64" s="167"/>
      <c r="E64" s="167"/>
      <c r="F64" s="167"/>
      <c r="G64" s="168"/>
      <c r="H64" s="101"/>
      <c r="I64" s="111"/>
      <c r="J64" s="119"/>
      <c r="K64" s="85"/>
      <c r="L64" s="96"/>
    </row>
    <row r="65" spans="1:12" s="97" customFormat="1" ht="12.75">
      <c r="A65" s="160" t="s">
        <v>111</v>
      </c>
      <c r="B65" s="94" t="s">
        <v>95</v>
      </c>
      <c r="C65" s="73" t="s">
        <v>3</v>
      </c>
      <c r="D65" s="75">
        <f>337.53*0.1</f>
        <v>33.753</v>
      </c>
      <c r="E65" s="75">
        <f>8.13+93</f>
        <v>101.13</v>
      </c>
      <c r="F65" s="75">
        <f>ROUND(E65*$J$1,2)</f>
        <v>129.45</v>
      </c>
      <c r="G65" s="159">
        <f>ROUND(+F65*D65,2)</f>
        <v>4369.33</v>
      </c>
      <c r="H65" s="101"/>
      <c r="I65" s="111"/>
      <c r="J65" s="119">
        <v>73710</v>
      </c>
      <c r="K65" s="85"/>
      <c r="L65" s="96"/>
    </row>
    <row r="66" spans="1:13" s="97" customFormat="1" ht="22.5">
      <c r="A66" s="160" t="s">
        <v>112</v>
      </c>
      <c r="B66" s="94" t="s">
        <v>96</v>
      </c>
      <c r="C66" s="73" t="s">
        <v>3</v>
      </c>
      <c r="D66" s="75">
        <f>337.53*0.12</f>
        <v>40.5036</v>
      </c>
      <c r="E66" s="75">
        <v>380</v>
      </c>
      <c r="F66" s="75">
        <f>ROUND(E66*$J$1,2)</f>
        <v>486.4</v>
      </c>
      <c r="G66" s="159">
        <f>ROUND(+F66*D66,2)</f>
        <v>19700.95</v>
      </c>
      <c r="H66" s="101"/>
      <c r="J66" s="119" t="s">
        <v>71</v>
      </c>
      <c r="K66" s="119" t="s">
        <v>72</v>
      </c>
      <c r="L66" s="209"/>
      <c r="M66" s="99"/>
    </row>
    <row r="67" spans="1:13" s="97" customFormat="1" ht="13.5" thickBot="1">
      <c r="A67" s="160" t="s">
        <v>113</v>
      </c>
      <c r="B67" s="94" t="s">
        <v>97</v>
      </c>
      <c r="C67" s="73" t="s">
        <v>76</v>
      </c>
      <c r="D67" s="75">
        <f>6.4*337.53</f>
        <v>2160.192</v>
      </c>
      <c r="E67" s="75">
        <f>3.08+2.19+0.11</f>
        <v>5.38</v>
      </c>
      <c r="F67" s="75">
        <f>ROUND(E67*$J$1,2)</f>
        <v>6.89</v>
      </c>
      <c r="G67" s="159">
        <f>ROUND(+F67*D67,2)</f>
        <v>14883.72</v>
      </c>
      <c r="H67" s="101"/>
      <c r="J67" s="119" t="s">
        <v>98</v>
      </c>
      <c r="K67" s="119"/>
      <c r="L67" s="96"/>
      <c r="M67" s="99"/>
    </row>
    <row r="68" spans="1:12" s="97" customFormat="1" ht="13.5" thickBot="1">
      <c r="A68" s="193"/>
      <c r="B68" s="194" t="s">
        <v>24</v>
      </c>
      <c r="C68" s="195"/>
      <c r="D68" s="196"/>
      <c r="E68" s="197"/>
      <c r="F68" s="197"/>
      <c r="G68" s="198">
        <f>SUM(G65:G67)</f>
        <v>38954</v>
      </c>
      <c r="H68" s="98"/>
      <c r="J68" s="119"/>
      <c r="K68" s="85"/>
      <c r="L68" s="96"/>
    </row>
    <row r="69" spans="1:13" s="97" customFormat="1" ht="12.75">
      <c r="A69" s="164">
        <v>11</v>
      </c>
      <c r="B69" s="165" t="s">
        <v>35</v>
      </c>
      <c r="C69" s="166"/>
      <c r="D69" s="173"/>
      <c r="E69" s="167"/>
      <c r="F69" s="167"/>
      <c r="G69" s="174"/>
      <c r="H69" s="101"/>
      <c r="J69" s="119"/>
      <c r="K69" s="102"/>
      <c r="L69" s="96"/>
      <c r="M69" s="126"/>
    </row>
    <row r="70" spans="1:13" s="97" customFormat="1" ht="12.75">
      <c r="A70" s="160" t="s">
        <v>114</v>
      </c>
      <c r="B70" s="94" t="s">
        <v>44</v>
      </c>
      <c r="C70" s="73" t="s">
        <v>3</v>
      </c>
      <c r="D70" s="74">
        <f>53*(0.5*0.3)</f>
        <v>7.949999999999999</v>
      </c>
      <c r="E70" s="75">
        <v>34.71</v>
      </c>
      <c r="F70" s="75">
        <f>ROUND(E70*$J$1,2)</f>
        <v>44.43</v>
      </c>
      <c r="G70" s="159">
        <f>ROUND(F70*D70,2)</f>
        <v>353.22</v>
      </c>
      <c r="H70" s="101"/>
      <c r="J70" s="119" t="s">
        <v>45</v>
      </c>
      <c r="K70" s="102"/>
      <c r="L70" s="96"/>
      <c r="M70" s="126"/>
    </row>
    <row r="71" spans="1:13" s="97" customFormat="1" ht="12.75">
      <c r="A71" s="160" t="s">
        <v>115</v>
      </c>
      <c r="B71" s="100" t="s">
        <v>47</v>
      </c>
      <c r="C71" s="73" t="s">
        <v>3</v>
      </c>
      <c r="D71" s="74">
        <f>D70</f>
        <v>7.949999999999999</v>
      </c>
      <c r="E71" s="75">
        <v>11.22</v>
      </c>
      <c r="F71" s="75">
        <f>ROUND(E71*$J$1,2)</f>
        <v>14.36</v>
      </c>
      <c r="G71" s="159">
        <f>ROUND(F71*D71,2)</f>
        <v>114.16</v>
      </c>
      <c r="H71" s="98"/>
      <c r="J71" s="119">
        <v>72841</v>
      </c>
      <c r="K71" s="90"/>
      <c r="L71" s="96"/>
      <c r="M71" s="99"/>
    </row>
    <row r="72" spans="1:12" s="97" customFormat="1" ht="12.75">
      <c r="A72" s="160" t="s">
        <v>116</v>
      </c>
      <c r="B72" s="94" t="s">
        <v>65</v>
      </c>
      <c r="C72" s="73" t="s">
        <v>3</v>
      </c>
      <c r="D72" s="74">
        <f>53*(0.3*0.05)</f>
        <v>0.7949999999999999</v>
      </c>
      <c r="E72" s="180">
        <v>341.79</v>
      </c>
      <c r="F72" s="75">
        <f>ROUND(E72*$J$1,2)</f>
        <v>437.49</v>
      </c>
      <c r="G72" s="159">
        <f>ROUND(F72*D72,2)</f>
        <v>347.8</v>
      </c>
      <c r="H72" s="101"/>
      <c r="J72" s="119" t="s">
        <v>62</v>
      </c>
      <c r="K72" s="102"/>
      <c r="L72" s="96"/>
    </row>
    <row r="73" spans="1:12" ht="22.5">
      <c r="A73" s="160" t="s">
        <v>117</v>
      </c>
      <c r="B73" s="94" t="s">
        <v>73</v>
      </c>
      <c r="C73" s="73" t="s">
        <v>41</v>
      </c>
      <c r="D73" s="74">
        <v>53</v>
      </c>
      <c r="E73" s="75">
        <v>27.92</v>
      </c>
      <c r="F73" s="75">
        <f>ROUND(E73*$J$1,2)</f>
        <v>35.74</v>
      </c>
      <c r="G73" s="159">
        <f>ROUND(F73*D73,2)</f>
        <v>1894.22</v>
      </c>
      <c r="H73" s="77"/>
      <c r="J73" s="121" t="s">
        <v>99</v>
      </c>
      <c r="K73" s="83"/>
      <c r="L73" s="103"/>
    </row>
    <row r="74" spans="1:12" s="97" customFormat="1" ht="12.75">
      <c r="A74" s="199"/>
      <c r="B74" s="200" t="s">
        <v>24</v>
      </c>
      <c r="C74" s="201"/>
      <c r="D74" s="202"/>
      <c r="E74" s="203"/>
      <c r="F74" s="203"/>
      <c r="G74" s="204">
        <f>SUM(G70:G73)</f>
        <v>2709.4</v>
      </c>
      <c r="H74" s="98"/>
      <c r="J74" s="119"/>
      <c r="K74" s="85"/>
      <c r="L74" s="96"/>
    </row>
    <row r="75" spans="1:12" s="97" customFormat="1" ht="13.5" thickBot="1">
      <c r="A75" s="199"/>
      <c r="B75" s="200" t="s">
        <v>106</v>
      </c>
      <c r="C75" s="201"/>
      <c r="D75" s="202"/>
      <c r="E75" s="203"/>
      <c r="F75" s="203"/>
      <c r="G75" s="204">
        <f>G74+G68+G63</f>
        <v>45248.23</v>
      </c>
      <c r="H75" s="98"/>
      <c r="J75" s="119"/>
      <c r="K75" s="85"/>
      <c r="L75" s="96"/>
    </row>
    <row r="76" spans="1:12" ht="19.5" customHeight="1">
      <c r="A76" s="221" t="s">
        <v>127</v>
      </c>
      <c r="B76" s="222"/>
      <c r="C76" s="222"/>
      <c r="D76" s="222"/>
      <c r="E76" s="222"/>
      <c r="F76" s="222"/>
      <c r="G76" s="223"/>
      <c r="H76" s="76"/>
      <c r="J76" s="118"/>
      <c r="K76" s="85"/>
      <c r="L76" s="114"/>
    </row>
    <row r="77" spans="1:13" s="97" customFormat="1" ht="12.75">
      <c r="A77" s="164">
        <v>12</v>
      </c>
      <c r="B77" s="165" t="s">
        <v>38</v>
      </c>
      <c r="C77" s="166"/>
      <c r="D77" s="167"/>
      <c r="E77" s="167"/>
      <c r="F77" s="167"/>
      <c r="G77" s="168"/>
      <c r="H77" s="98"/>
      <c r="J77" s="119"/>
      <c r="K77" s="90"/>
      <c r="L77" s="96"/>
      <c r="M77" s="99"/>
    </row>
    <row r="78" spans="1:13" s="97" customFormat="1" ht="12.75">
      <c r="A78" s="175" t="s">
        <v>122</v>
      </c>
      <c r="B78" s="100" t="s">
        <v>100</v>
      </c>
      <c r="C78" s="73" t="s">
        <v>3</v>
      </c>
      <c r="D78" s="74">
        <f>220*0.22</f>
        <v>48.4</v>
      </c>
      <c r="E78" s="75">
        <v>3.51</v>
      </c>
      <c r="F78" s="75">
        <f>ROUND(E78*$J$1,2)</f>
        <v>4.49</v>
      </c>
      <c r="G78" s="159">
        <f>ROUND(F78*D78,2)</f>
        <v>217.32</v>
      </c>
      <c r="H78" s="98"/>
      <c r="J78" s="119" t="s">
        <v>60</v>
      </c>
      <c r="K78" s="90"/>
      <c r="L78" s="96"/>
      <c r="M78" s="125"/>
    </row>
    <row r="79" spans="1:13" s="97" customFormat="1" ht="13.5" thickBot="1">
      <c r="A79" s="175" t="s">
        <v>123</v>
      </c>
      <c r="B79" s="100" t="s">
        <v>75</v>
      </c>
      <c r="C79" s="73" t="s">
        <v>3</v>
      </c>
      <c r="D79" s="74">
        <f>D78</f>
        <v>48.4</v>
      </c>
      <c r="E79" s="75">
        <v>11.22</v>
      </c>
      <c r="F79" s="75">
        <f>ROUND(E79*$J$1,2)</f>
        <v>14.36</v>
      </c>
      <c r="G79" s="159">
        <f>ROUND(F79*D79,2)</f>
        <v>695.02</v>
      </c>
      <c r="H79" s="98"/>
      <c r="J79" s="119">
        <v>72841</v>
      </c>
      <c r="K79" s="90"/>
      <c r="L79" s="96"/>
      <c r="M79" s="99"/>
    </row>
    <row r="80" spans="1:12" s="97" customFormat="1" ht="13.5" thickBot="1">
      <c r="A80" s="193"/>
      <c r="B80" s="194" t="s">
        <v>24</v>
      </c>
      <c r="C80" s="195"/>
      <c r="D80" s="196"/>
      <c r="E80" s="197"/>
      <c r="F80" s="197"/>
      <c r="G80" s="198">
        <f>SUM(G78:G79)</f>
        <v>912.3399999999999</v>
      </c>
      <c r="H80" s="98"/>
      <c r="J80" s="119"/>
      <c r="K80" s="85"/>
      <c r="L80" s="96"/>
    </row>
    <row r="81" spans="1:12" s="97" customFormat="1" ht="12.75">
      <c r="A81" s="164">
        <v>13</v>
      </c>
      <c r="B81" s="165" t="s">
        <v>39</v>
      </c>
      <c r="C81" s="166"/>
      <c r="D81" s="167"/>
      <c r="E81" s="167"/>
      <c r="F81" s="167"/>
      <c r="G81" s="168"/>
      <c r="H81" s="101"/>
      <c r="I81" s="111"/>
      <c r="J81" s="119"/>
      <c r="K81" s="85"/>
      <c r="L81" s="96"/>
    </row>
    <row r="82" spans="1:12" s="97" customFormat="1" ht="12.75">
      <c r="A82" s="160" t="s">
        <v>124</v>
      </c>
      <c r="B82" s="94" t="s">
        <v>95</v>
      </c>
      <c r="C82" s="73" t="s">
        <v>3</v>
      </c>
      <c r="D82" s="75">
        <f>220*0.1</f>
        <v>22</v>
      </c>
      <c r="E82" s="75">
        <f>8.13+93</f>
        <v>101.13</v>
      </c>
      <c r="F82" s="75">
        <f>ROUND(E82*$J$1,2)</f>
        <v>129.45</v>
      </c>
      <c r="G82" s="159">
        <f>ROUND(+F82*D82,2)</f>
        <v>2847.9</v>
      </c>
      <c r="H82" s="101"/>
      <c r="I82" s="111"/>
      <c r="J82" s="119">
        <v>73710</v>
      </c>
      <c r="K82" s="85"/>
      <c r="L82" s="96"/>
    </row>
    <row r="83" spans="1:13" s="97" customFormat="1" ht="22.5">
      <c r="A83" s="160" t="s">
        <v>125</v>
      </c>
      <c r="B83" s="94" t="s">
        <v>96</v>
      </c>
      <c r="C83" s="73" t="s">
        <v>3</v>
      </c>
      <c r="D83" s="75">
        <f>220*0.12</f>
        <v>26.4</v>
      </c>
      <c r="E83" s="75">
        <v>380</v>
      </c>
      <c r="F83" s="75">
        <f>ROUND(E83*$J$1,2)</f>
        <v>486.4</v>
      </c>
      <c r="G83" s="159">
        <f>ROUND(+F83*D83,2)</f>
        <v>12840.96</v>
      </c>
      <c r="H83" s="101"/>
      <c r="J83" s="119" t="s">
        <v>71</v>
      </c>
      <c r="K83" s="119" t="s">
        <v>72</v>
      </c>
      <c r="L83" s="209"/>
      <c r="M83" s="99"/>
    </row>
    <row r="84" spans="1:13" s="97" customFormat="1" ht="13.5" thickBot="1">
      <c r="A84" s="160" t="s">
        <v>126</v>
      </c>
      <c r="B84" s="94" t="s">
        <v>97</v>
      </c>
      <c r="C84" s="73" t="s">
        <v>76</v>
      </c>
      <c r="D84" s="75">
        <f>6.4*220</f>
        <v>1408</v>
      </c>
      <c r="E84" s="75">
        <v>5.38</v>
      </c>
      <c r="F84" s="75">
        <f>ROUND(E84*$J$1,2)</f>
        <v>6.89</v>
      </c>
      <c r="G84" s="159">
        <f>ROUND(+F84*D84,2)</f>
        <v>9701.12</v>
      </c>
      <c r="H84" s="101"/>
      <c r="J84" s="119" t="s">
        <v>98</v>
      </c>
      <c r="K84" s="119"/>
      <c r="L84" s="96"/>
      <c r="M84" s="99"/>
    </row>
    <row r="85" spans="1:12" s="97" customFormat="1" ht="13.5" thickBot="1">
      <c r="A85" s="193"/>
      <c r="B85" s="194" t="s">
        <v>24</v>
      </c>
      <c r="C85" s="195"/>
      <c r="D85" s="196"/>
      <c r="E85" s="197"/>
      <c r="F85" s="197"/>
      <c r="G85" s="198">
        <f>SUM(G82:G84)</f>
        <v>25389.98</v>
      </c>
      <c r="H85" s="98"/>
      <c r="J85" s="119"/>
      <c r="K85" s="85"/>
      <c r="L85" s="96"/>
    </row>
    <row r="86" spans="1:12" s="97" customFormat="1" ht="12.75">
      <c r="A86" s="199"/>
      <c r="B86" s="200" t="s">
        <v>120</v>
      </c>
      <c r="C86" s="201"/>
      <c r="D86" s="202"/>
      <c r="E86" s="203"/>
      <c r="F86" s="203"/>
      <c r="G86" s="204">
        <f>G85+G80</f>
        <v>26302.32</v>
      </c>
      <c r="H86" s="98"/>
      <c r="J86" s="119"/>
      <c r="K86" s="85"/>
      <c r="L86" s="96"/>
    </row>
    <row r="87" spans="1:12" s="97" customFormat="1" ht="13.5" thickBot="1">
      <c r="A87" s="205"/>
      <c r="B87" s="206" t="s">
        <v>25</v>
      </c>
      <c r="C87" s="207"/>
      <c r="D87" s="207"/>
      <c r="E87" s="207"/>
      <c r="F87" s="207"/>
      <c r="G87" s="208">
        <f>G75+G56+G37+G26+G15+G86</f>
        <v>166220.47000000003</v>
      </c>
      <c r="H87" s="98"/>
      <c r="J87" s="122"/>
      <c r="K87" s="85"/>
      <c r="L87" s="96">
        <v>48122.29</v>
      </c>
    </row>
    <row r="88" spans="2:12" ht="12.75">
      <c r="B88" s="127"/>
      <c r="I88" s="113"/>
      <c r="J88" s="120"/>
      <c r="K88" s="83"/>
      <c r="L88" s="96">
        <v>3980.83</v>
      </c>
    </row>
    <row r="89" spans="1:12" ht="13.5">
      <c r="A89" s="128"/>
      <c r="B89" s="129"/>
      <c r="C89" s="130"/>
      <c r="D89" s="131"/>
      <c r="E89" s="132"/>
      <c r="F89" s="132"/>
      <c r="G89" s="133"/>
      <c r="H89" s="134"/>
      <c r="I89" s="135"/>
      <c r="J89" s="120"/>
      <c r="L89" s="96">
        <v>12706.82</v>
      </c>
    </row>
    <row r="90" spans="1:12" s="97" customFormat="1" ht="12.75">
      <c r="A90" s="128"/>
      <c r="B90" s="136"/>
      <c r="C90" s="137"/>
      <c r="D90" s="136"/>
      <c r="E90" s="136"/>
      <c r="F90" s="136"/>
      <c r="G90" s="116"/>
      <c r="H90" s="138"/>
      <c r="I90" s="135"/>
      <c r="J90" s="120"/>
      <c r="K90" s="85"/>
      <c r="L90" s="96">
        <f>SUM(L87:L89)</f>
        <v>64809.94</v>
      </c>
    </row>
    <row r="91" spans="1:12" s="97" customFormat="1" ht="12.75" hidden="1">
      <c r="A91" s="139" t="s">
        <v>31</v>
      </c>
      <c r="B91" s="140" t="s">
        <v>48</v>
      </c>
      <c r="C91" s="130"/>
      <c r="D91" s="131"/>
      <c r="E91" s="131"/>
      <c r="F91" s="116">
        <v>72841</v>
      </c>
      <c r="G91" s="141" t="s">
        <v>49</v>
      </c>
      <c r="H91" s="138"/>
      <c r="I91" s="135"/>
      <c r="J91" s="120"/>
      <c r="K91" s="145"/>
      <c r="L91" s="96"/>
    </row>
    <row r="92" spans="1:12" s="97" customFormat="1" ht="12.75" hidden="1">
      <c r="A92" s="139"/>
      <c r="B92" s="140" t="s">
        <v>50</v>
      </c>
      <c r="C92" s="130"/>
      <c r="D92" s="131"/>
      <c r="E92" s="131"/>
      <c r="F92" s="116"/>
      <c r="G92" s="141"/>
      <c r="H92" s="138"/>
      <c r="I92" s="135"/>
      <c r="J92" s="120"/>
      <c r="K92" s="85"/>
      <c r="L92" s="96"/>
    </row>
    <row r="93" spans="1:12" ht="12.75" hidden="1">
      <c r="A93" s="139"/>
      <c r="B93" s="140" t="s">
        <v>53</v>
      </c>
      <c r="C93" s="130"/>
      <c r="D93" s="131"/>
      <c r="E93" s="131"/>
      <c r="F93" s="116"/>
      <c r="G93" s="141"/>
      <c r="H93" s="134"/>
      <c r="I93" s="135"/>
      <c r="J93" s="120"/>
      <c r="K93" s="83"/>
      <c r="L93" s="103"/>
    </row>
    <row r="94" spans="1:12" s="97" customFormat="1" ht="12.75" hidden="1">
      <c r="A94" s="139"/>
      <c r="B94" s="140"/>
      <c r="C94" s="130"/>
      <c r="D94" s="131"/>
      <c r="E94" s="131"/>
      <c r="F94" s="116"/>
      <c r="G94" s="141"/>
      <c r="H94" s="138"/>
      <c r="I94" s="135"/>
      <c r="J94" s="120"/>
      <c r="K94" s="85"/>
      <c r="L94" s="96"/>
    </row>
    <row r="95" spans="1:12" s="97" customFormat="1" ht="12.75" hidden="1">
      <c r="A95" s="139"/>
      <c r="B95" s="140"/>
      <c r="C95" s="130"/>
      <c r="D95" s="131"/>
      <c r="E95" s="131"/>
      <c r="F95" s="116"/>
      <c r="G95" s="141"/>
      <c r="H95" s="138"/>
      <c r="I95" s="135"/>
      <c r="J95" s="120"/>
      <c r="K95" s="85"/>
      <c r="L95" s="96"/>
    </row>
    <row r="96" spans="1:12" ht="12.75" hidden="1">
      <c r="A96" s="139" t="s">
        <v>36</v>
      </c>
      <c r="B96" s="140" t="s">
        <v>48</v>
      </c>
      <c r="C96" s="130"/>
      <c r="D96" s="131"/>
      <c r="E96" s="131"/>
      <c r="F96" s="116">
        <v>72841</v>
      </c>
      <c r="G96" s="141" t="s">
        <v>49</v>
      </c>
      <c r="H96" s="134"/>
      <c r="I96" s="135"/>
      <c r="J96" s="120"/>
      <c r="K96" s="83"/>
      <c r="L96" s="84"/>
    </row>
    <row r="97" spans="1:12" ht="12.75" hidden="1">
      <c r="A97" s="139"/>
      <c r="B97" s="140" t="s">
        <v>52</v>
      </c>
      <c r="C97" s="130"/>
      <c r="D97" s="131"/>
      <c r="E97" s="131"/>
      <c r="F97" s="116"/>
      <c r="G97" s="141"/>
      <c r="H97" s="134"/>
      <c r="I97" s="135"/>
      <c r="J97" s="120"/>
      <c r="K97" s="83"/>
      <c r="L97" s="103"/>
    </row>
    <row r="98" spans="1:12" s="97" customFormat="1" ht="12.75" hidden="1">
      <c r="A98" s="139"/>
      <c r="B98" s="140" t="s">
        <v>53</v>
      </c>
      <c r="C98" s="130"/>
      <c r="D98" s="131"/>
      <c r="E98" s="131"/>
      <c r="F98" s="116"/>
      <c r="G98" s="141"/>
      <c r="H98" s="138"/>
      <c r="I98" s="135"/>
      <c r="J98" s="120"/>
      <c r="K98" s="85"/>
      <c r="L98" s="96"/>
    </row>
    <row r="99" spans="1:12" s="97" customFormat="1" ht="12.75" hidden="1">
      <c r="A99" s="139"/>
      <c r="B99" s="140"/>
      <c r="C99" s="130"/>
      <c r="D99" s="131"/>
      <c r="E99" s="131"/>
      <c r="F99" s="116"/>
      <c r="G99" s="141"/>
      <c r="H99" s="138"/>
      <c r="I99" s="135"/>
      <c r="J99" s="120"/>
      <c r="K99" s="85"/>
      <c r="L99" s="96"/>
    </row>
    <row r="100" spans="1:12" s="97" customFormat="1" ht="12.75" hidden="1">
      <c r="A100" s="139"/>
      <c r="B100" s="140"/>
      <c r="C100" s="130"/>
      <c r="D100" s="131"/>
      <c r="E100" s="131"/>
      <c r="F100" s="116"/>
      <c r="G100" s="141"/>
      <c r="H100" s="138"/>
      <c r="I100" s="135"/>
      <c r="J100" s="120"/>
      <c r="K100" s="85"/>
      <c r="L100" s="96"/>
    </row>
    <row r="101" spans="1:12" s="97" customFormat="1" ht="12.75" hidden="1">
      <c r="A101" s="139" t="s">
        <v>43</v>
      </c>
      <c r="B101" s="140" t="s">
        <v>48</v>
      </c>
      <c r="C101" s="130"/>
      <c r="D101" s="131"/>
      <c r="E101" s="131"/>
      <c r="F101" s="116">
        <v>72841</v>
      </c>
      <c r="G101" s="141" t="s">
        <v>49</v>
      </c>
      <c r="H101" s="138"/>
      <c r="I101" s="135"/>
      <c r="J101" s="120"/>
      <c r="K101" s="85"/>
      <c r="L101" s="96"/>
    </row>
    <row r="102" spans="1:12" s="97" customFormat="1" ht="12.75" hidden="1">
      <c r="A102" s="139"/>
      <c r="B102" s="140" t="s">
        <v>52</v>
      </c>
      <c r="C102" s="130"/>
      <c r="D102" s="131"/>
      <c r="E102" s="131"/>
      <c r="F102" s="116"/>
      <c r="G102" s="141"/>
      <c r="H102" s="138"/>
      <c r="I102" s="135"/>
      <c r="J102" s="120"/>
      <c r="K102" s="85"/>
      <c r="L102" s="96"/>
    </row>
    <row r="103" spans="1:12" s="97" customFormat="1" ht="12.75" hidden="1">
      <c r="A103" s="139"/>
      <c r="B103" s="140" t="s">
        <v>68</v>
      </c>
      <c r="C103" s="130"/>
      <c r="D103" s="131"/>
      <c r="E103" s="131"/>
      <c r="F103" s="116"/>
      <c r="G103" s="141"/>
      <c r="H103" s="138"/>
      <c r="I103" s="135"/>
      <c r="J103" s="120"/>
      <c r="K103" s="85"/>
      <c r="L103" s="96"/>
    </row>
    <row r="104" spans="1:12" ht="12.75">
      <c r="A104" s="139"/>
      <c r="B104" s="176" t="s">
        <v>94</v>
      </c>
      <c r="C104" s="130"/>
      <c r="D104" s="131"/>
      <c r="E104" s="131"/>
      <c r="F104" s="116"/>
      <c r="G104" s="141"/>
      <c r="H104" s="134"/>
      <c r="I104" s="135"/>
      <c r="J104" s="120"/>
      <c r="K104" s="83"/>
      <c r="L104" s="84"/>
    </row>
    <row r="105" spans="1:12" ht="12.75">
      <c r="A105" s="139"/>
      <c r="B105" s="140"/>
      <c r="C105" s="130"/>
      <c r="D105" s="131"/>
      <c r="E105" s="131"/>
      <c r="F105" s="116"/>
      <c r="G105" s="141"/>
      <c r="H105" s="134"/>
      <c r="I105" s="135"/>
      <c r="J105" s="120"/>
      <c r="K105" s="83"/>
      <c r="L105" s="84"/>
    </row>
    <row r="106" spans="1:12" ht="12.75">
      <c r="A106" s="139"/>
      <c r="B106" s="129"/>
      <c r="C106" s="130"/>
      <c r="D106" s="131"/>
      <c r="E106" s="131"/>
      <c r="F106" s="116"/>
      <c r="G106" s="141"/>
      <c r="H106" s="134"/>
      <c r="I106" s="135"/>
      <c r="J106" s="120"/>
      <c r="K106" s="83"/>
      <c r="L106" s="84"/>
    </row>
    <row r="107" spans="1:12" ht="12.75">
      <c r="A107" s="139"/>
      <c r="B107" s="140"/>
      <c r="C107" s="130"/>
      <c r="D107" s="131"/>
      <c r="E107" s="131"/>
      <c r="F107" s="116"/>
      <c r="G107" s="141"/>
      <c r="H107" s="134"/>
      <c r="I107" s="135"/>
      <c r="J107" s="120"/>
      <c r="K107" s="83"/>
      <c r="L107" s="84"/>
    </row>
    <row r="108" spans="1:12" ht="12.75">
      <c r="A108" s="139"/>
      <c r="B108" s="140"/>
      <c r="C108" s="130"/>
      <c r="D108" s="142"/>
      <c r="E108" s="131"/>
      <c r="F108" s="116"/>
      <c r="G108" s="141"/>
      <c r="H108" s="134"/>
      <c r="I108" s="135"/>
      <c r="J108" s="120"/>
      <c r="K108" s="83"/>
      <c r="L108" s="84"/>
    </row>
    <row r="109" spans="1:12" ht="12.75">
      <c r="A109" s="139"/>
      <c r="B109" s="140"/>
      <c r="C109" s="130"/>
      <c r="D109" s="142"/>
      <c r="E109" s="131"/>
      <c r="F109" s="116"/>
      <c r="G109" s="141"/>
      <c r="H109" s="134"/>
      <c r="I109" s="135"/>
      <c r="J109" s="120"/>
      <c r="K109" s="83"/>
      <c r="L109" s="84"/>
    </row>
    <row r="110" spans="1:12" ht="12.75">
      <c r="A110" s="139"/>
      <c r="B110" s="140"/>
      <c r="C110" s="130"/>
      <c r="D110" s="224"/>
      <c r="E110" s="224"/>
      <c r="F110" s="116"/>
      <c r="G110" s="141"/>
      <c r="H110" s="134"/>
      <c r="I110" s="135"/>
      <c r="J110" s="120"/>
      <c r="K110" s="83"/>
      <c r="L110" s="84"/>
    </row>
    <row r="111" spans="1:12" ht="12.75">
      <c r="A111" s="139"/>
      <c r="B111" s="140"/>
      <c r="C111" s="130"/>
      <c r="D111" s="143"/>
      <c r="E111" s="143"/>
      <c r="F111" s="116"/>
      <c r="G111" s="141"/>
      <c r="H111" s="134"/>
      <c r="I111" s="135"/>
      <c r="J111" s="120"/>
      <c r="K111" s="83"/>
      <c r="L111" s="103"/>
    </row>
    <row r="112" spans="1:12" s="97" customFormat="1" ht="12.75">
      <c r="A112" s="139"/>
      <c r="B112" s="140"/>
      <c r="C112" s="130"/>
      <c r="E112" s="131"/>
      <c r="F112" s="131"/>
      <c r="G112" s="141"/>
      <c r="H112" s="138"/>
      <c r="I112" s="135"/>
      <c r="J112" s="120"/>
      <c r="K112" s="85"/>
      <c r="L112" s="96"/>
    </row>
    <row r="113" spans="1:12" ht="12.75">
      <c r="A113" s="139"/>
      <c r="B113" s="140"/>
      <c r="C113" s="130"/>
      <c r="D113" s="131"/>
      <c r="E113" s="131"/>
      <c r="F113" s="116"/>
      <c r="G113" s="141"/>
      <c r="H113" s="134"/>
      <c r="I113" s="135"/>
      <c r="J113" s="120"/>
      <c r="K113" s="83"/>
      <c r="L113" s="84"/>
    </row>
    <row r="114" spans="1:12" ht="12.75">
      <c r="A114" s="139"/>
      <c r="B114" s="140"/>
      <c r="C114" s="130"/>
      <c r="D114" s="142"/>
      <c r="E114" s="131"/>
      <c r="F114" s="116"/>
      <c r="G114" s="141"/>
      <c r="H114" s="134"/>
      <c r="I114" s="135"/>
      <c r="J114" s="120"/>
      <c r="K114" s="83"/>
      <c r="L114" s="84"/>
    </row>
    <row r="115" spans="1:12" s="97" customFormat="1" ht="12.75">
      <c r="A115" s="139"/>
      <c r="B115" s="140"/>
      <c r="C115" s="130"/>
      <c r="D115" s="131"/>
      <c r="E115" s="131"/>
      <c r="F115" s="116"/>
      <c r="G115" s="141"/>
      <c r="H115" s="138"/>
      <c r="I115" s="144"/>
      <c r="J115" s="123"/>
      <c r="K115" s="85"/>
      <c r="L115" s="108"/>
    </row>
    <row r="116" spans="1:12" ht="12.75">
      <c r="A116" s="139"/>
      <c r="B116" s="140"/>
      <c r="C116" s="130"/>
      <c r="D116" s="131"/>
      <c r="E116" s="131"/>
      <c r="F116" s="116"/>
      <c r="G116" s="141"/>
      <c r="H116" s="134"/>
      <c r="I116" s="121"/>
      <c r="J116" s="120"/>
      <c r="K116" s="83"/>
      <c r="L116" s="103"/>
    </row>
    <row r="117" spans="1:12" ht="12.75">
      <c r="A117" s="139"/>
      <c r="B117" s="140"/>
      <c r="C117" s="130"/>
      <c r="D117" s="131"/>
      <c r="E117" s="131"/>
      <c r="F117" s="116"/>
      <c r="G117" s="141"/>
      <c r="H117" s="134"/>
      <c r="I117" s="121"/>
      <c r="J117" s="120"/>
      <c r="K117" s="83"/>
      <c r="L117" s="103"/>
    </row>
    <row r="118" spans="1:12" ht="12.75">
      <c r="A118" s="139"/>
      <c r="B118" s="140"/>
      <c r="C118" s="130"/>
      <c r="D118" s="131"/>
      <c r="E118" s="131"/>
      <c r="F118" s="116"/>
      <c r="G118" s="141"/>
      <c r="H118" s="134"/>
      <c r="I118" s="121"/>
      <c r="J118" s="120"/>
      <c r="K118" s="83"/>
      <c r="L118" s="84"/>
    </row>
    <row r="119" spans="1:12" ht="7.5" customHeight="1">
      <c r="A119" s="139"/>
      <c r="B119" s="140"/>
      <c r="C119" s="130"/>
      <c r="D119" s="131"/>
      <c r="E119" s="131"/>
      <c r="F119" s="116"/>
      <c r="G119" s="141"/>
      <c r="H119" s="134"/>
      <c r="I119" s="121"/>
      <c r="J119" s="120"/>
      <c r="K119" s="83"/>
      <c r="L119" s="84"/>
    </row>
    <row r="120" spans="1:12" ht="12.75">
      <c r="A120" s="139"/>
      <c r="B120" s="140"/>
      <c r="C120" s="130"/>
      <c r="D120" s="131"/>
      <c r="E120" s="131"/>
      <c r="F120" s="116"/>
      <c r="G120" s="141"/>
      <c r="H120" s="134"/>
      <c r="I120" s="121"/>
      <c r="J120" s="120"/>
      <c r="K120" s="83"/>
      <c r="L120" s="84"/>
    </row>
    <row r="121" spans="1:12" ht="12.75">
      <c r="A121" s="115"/>
      <c r="B121" s="95"/>
      <c r="F121" s="116"/>
      <c r="G121" s="117"/>
      <c r="I121" s="112"/>
      <c r="J121" s="120"/>
      <c r="K121" s="83"/>
      <c r="L121" s="84"/>
    </row>
    <row r="122" spans="1:12" ht="12.75">
      <c r="A122" s="115"/>
      <c r="B122" s="95"/>
      <c r="F122" s="116"/>
      <c r="G122" s="117"/>
      <c r="I122" s="112"/>
      <c r="J122" s="120"/>
      <c r="K122" s="83"/>
      <c r="L122" s="84"/>
    </row>
    <row r="123" spans="9:12" ht="12.75">
      <c r="I123" s="112"/>
      <c r="J123" s="120"/>
      <c r="K123" s="83"/>
      <c r="L123" s="84"/>
    </row>
    <row r="124" spans="9:12" ht="12.75">
      <c r="I124" s="112"/>
      <c r="J124" s="120"/>
      <c r="K124" s="83"/>
      <c r="L124" s="84"/>
    </row>
    <row r="125" spans="9:12" ht="12.75">
      <c r="I125" s="112"/>
      <c r="J125" s="120"/>
      <c r="K125" s="83"/>
      <c r="L125" s="84"/>
    </row>
    <row r="126" spans="9:12" ht="12.75">
      <c r="I126" s="112"/>
      <c r="J126" s="120"/>
      <c r="K126" s="83"/>
      <c r="L126" s="84"/>
    </row>
    <row r="127" spans="9:12" ht="12.75">
      <c r="I127" s="112"/>
      <c r="J127" s="120"/>
      <c r="K127" s="83"/>
      <c r="L127" s="84"/>
    </row>
    <row r="128" spans="9:12" ht="12.75">
      <c r="I128" s="112"/>
      <c r="J128" s="120"/>
      <c r="K128" s="83"/>
      <c r="L128" s="84"/>
    </row>
    <row r="129" spans="9:12" ht="12.75">
      <c r="I129" s="112"/>
      <c r="J129" s="120"/>
      <c r="K129" s="83"/>
      <c r="L129" s="84"/>
    </row>
    <row r="130" spans="8:12" ht="12.75">
      <c r="H130" s="109"/>
      <c r="I130" s="112"/>
      <c r="J130" s="120"/>
      <c r="K130" s="83"/>
      <c r="L130" s="84"/>
    </row>
    <row r="131" spans="1:12" ht="12.75">
      <c r="A131" s="77"/>
      <c r="C131" s="110"/>
      <c r="D131" s="77"/>
      <c r="E131" s="77"/>
      <c r="F131" s="77"/>
      <c r="G131" s="77"/>
      <c r="H131" s="109"/>
      <c r="I131" s="112"/>
      <c r="J131" s="120"/>
      <c r="K131" s="83"/>
      <c r="L131" s="84"/>
    </row>
    <row r="132" spans="1:12" ht="12.75">
      <c r="A132" s="77"/>
      <c r="C132" s="110"/>
      <c r="D132" s="77"/>
      <c r="E132" s="77"/>
      <c r="F132" s="77"/>
      <c r="G132" s="77"/>
      <c r="H132" s="109"/>
      <c r="I132" s="112"/>
      <c r="J132" s="120"/>
      <c r="K132" s="83"/>
      <c r="L132" s="84"/>
    </row>
    <row r="133" spans="1:12" ht="12.75">
      <c r="A133" s="77"/>
      <c r="C133" s="110"/>
      <c r="D133" s="77"/>
      <c r="E133" s="77"/>
      <c r="F133" s="77"/>
      <c r="G133" s="77"/>
      <c r="H133" s="109"/>
      <c r="I133" s="112"/>
      <c r="J133" s="120"/>
      <c r="K133" s="83"/>
      <c r="L133" s="84"/>
    </row>
    <row r="134" spans="1:12" ht="12.75">
      <c r="A134" s="77"/>
      <c r="C134" s="110"/>
      <c r="D134" s="77"/>
      <c r="E134" s="77"/>
      <c r="F134" s="77"/>
      <c r="G134" s="77"/>
      <c r="H134" s="109"/>
      <c r="I134" s="112"/>
      <c r="J134" s="120"/>
      <c r="K134" s="83"/>
      <c r="L134" s="84"/>
    </row>
    <row r="135" spans="1:12" ht="12.75">
      <c r="A135" s="77"/>
      <c r="C135" s="110"/>
      <c r="D135" s="77"/>
      <c r="E135" s="77"/>
      <c r="F135" s="77"/>
      <c r="G135" s="77"/>
      <c r="H135" s="109"/>
      <c r="I135" s="112"/>
      <c r="J135" s="120"/>
      <c r="K135" s="83"/>
      <c r="L135" s="84"/>
    </row>
    <row r="136" spans="1:12" ht="12.75">
      <c r="A136" s="77"/>
      <c r="C136" s="110"/>
      <c r="D136" s="77"/>
      <c r="E136" s="77"/>
      <c r="F136" s="77"/>
      <c r="G136" s="77"/>
      <c r="H136" s="109"/>
      <c r="I136" s="112"/>
      <c r="J136" s="120"/>
      <c r="K136" s="83"/>
      <c r="L136" s="84"/>
    </row>
    <row r="137" spans="1:12" ht="12.75">
      <c r="A137" s="77"/>
      <c r="C137" s="110"/>
      <c r="D137" s="77"/>
      <c r="E137" s="77"/>
      <c r="F137" s="77"/>
      <c r="G137" s="77"/>
      <c r="H137" s="109"/>
      <c r="I137" s="112"/>
      <c r="J137" s="120"/>
      <c r="K137" s="83"/>
      <c r="L137" s="84"/>
    </row>
    <row r="138" spans="1:12" ht="12.75">
      <c r="A138" s="77"/>
      <c r="C138" s="110"/>
      <c r="D138" s="77"/>
      <c r="E138" s="77"/>
      <c r="F138" s="77"/>
      <c r="G138" s="77"/>
      <c r="H138" s="109"/>
      <c r="I138" s="112"/>
      <c r="J138" s="120"/>
      <c r="K138" s="83"/>
      <c r="L138" s="84"/>
    </row>
    <row r="139" spans="1:12" ht="12.75">
      <c r="A139" s="77"/>
      <c r="C139" s="110"/>
      <c r="D139" s="77"/>
      <c r="E139" s="77"/>
      <c r="F139" s="77"/>
      <c r="G139" s="77"/>
      <c r="H139" s="109"/>
      <c r="I139" s="112"/>
      <c r="J139" s="120"/>
      <c r="K139" s="83"/>
      <c r="L139" s="84"/>
    </row>
    <row r="140" spans="1:12" ht="12.75">
      <c r="A140" s="77"/>
      <c r="C140" s="110"/>
      <c r="D140" s="77"/>
      <c r="E140" s="77"/>
      <c r="F140" s="77"/>
      <c r="G140" s="77"/>
      <c r="H140" s="109"/>
      <c r="I140" s="112"/>
      <c r="J140" s="120"/>
      <c r="K140" s="83"/>
      <c r="L140" s="84"/>
    </row>
    <row r="141" spans="1:12" ht="12.75">
      <c r="A141" s="77"/>
      <c r="C141" s="110"/>
      <c r="D141" s="77"/>
      <c r="E141" s="77"/>
      <c r="F141" s="77"/>
      <c r="G141" s="77"/>
      <c r="H141" s="109"/>
      <c r="I141" s="112"/>
      <c r="J141" s="120"/>
      <c r="K141" s="83"/>
      <c r="L141" s="84"/>
    </row>
    <row r="142" spans="1:12" ht="12.75">
      <c r="A142" s="77"/>
      <c r="C142" s="110"/>
      <c r="D142" s="77"/>
      <c r="E142" s="77"/>
      <c r="F142" s="77"/>
      <c r="G142" s="77"/>
      <c r="H142" s="109"/>
      <c r="I142" s="112"/>
      <c r="J142" s="120"/>
      <c r="K142" s="83"/>
      <c r="L142" s="84"/>
    </row>
    <row r="143" spans="1:12" ht="12.75">
      <c r="A143" s="77"/>
      <c r="C143" s="110"/>
      <c r="D143" s="77"/>
      <c r="E143" s="77"/>
      <c r="F143" s="77"/>
      <c r="G143" s="77"/>
      <c r="H143" s="109"/>
      <c r="I143" s="112"/>
      <c r="J143" s="120"/>
      <c r="K143" s="83"/>
      <c r="L143" s="84"/>
    </row>
    <row r="144" spans="1:12" ht="12.75">
      <c r="A144" s="77"/>
      <c r="C144" s="110"/>
      <c r="D144" s="77"/>
      <c r="E144" s="77"/>
      <c r="F144" s="77"/>
      <c r="G144" s="77"/>
      <c r="H144" s="109"/>
      <c r="I144" s="112"/>
      <c r="J144" s="120"/>
      <c r="K144" s="83"/>
      <c r="L144" s="84"/>
    </row>
    <row r="145" spans="1:12" ht="12.75">
      <c r="A145" s="77"/>
      <c r="C145" s="110"/>
      <c r="D145" s="77"/>
      <c r="E145" s="77"/>
      <c r="F145" s="77"/>
      <c r="G145" s="77"/>
      <c r="H145" s="109"/>
      <c r="I145" s="112"/>
      <c r="J145" s="120"/>
      <c r="K145" s="83"/>
      <c r="L145" s="84"/>
    </row>
    <row r="146" spans="1:12" ht="12.75">
      <c r="A146" s="77"/>
      <c r="C146" s="110"/>
      <c r="D146" s="77"/>
      <c r="E146" s="77"/>
      <c r="F146" s="77"/>
      <c r="G146" s="77"/>
      <c r="H146" s="109"/>
      <c r="I146" s="112"/>
      <c r="J146" s="120"/>
      <c r="K146" s="83"/>
      <c r="L146" s="84"/>
    </row>
    <row r="147" spans="1:12" ht="12.75">
      <c r="A147" s="77"/>
      <c r="C147" s="110"/>
      <c r="D147" s="77"/>
      <c r="E147" s="77"/>
      <c r="F147" s="77"/>
      <c r="G147" s="77"/>
      <c r="H147" s="109"/>
      <c r="I147" s="112"/>
      <c r="J147" s="120"/>
      <c r="K147" s="83"/>
      <c r="L147" s="84"/>
    </row>
    <row r="148" spans="1:12" ht="12.75">
      <c r="A148" s="77"/>
      <c r="C148" s="110"/>
      <c r="D148" s="77"/>
      <c r="E148" s="77"/>
      <c r="F148" s="77"/>
      <c r="G148" s="77"/>
      <c r="H148" s="109"/>
      <c r="I148" s="112"/>
      <c r="J148" s="120"/>
      <c r="K148" s="83"/>
      <c r="L148" s="84"/>
    </row>
    <row r="149" spans="1:12" ht="12.75">
      <c r="A149" s="77"/>
      <c r="C149" s="110"/>
      <c r="D149" s="77"/>
      <c r="E149" s="77"/>
      <c r="F149" s="77"/>
      <c r="G149" s="77"/>
      <c r="H149" s="109"/>
      <c r="I149" s="112"/>
      <c r="J149" s="120"/>
      <c r="K149" s="83"/>
      <c r="L149" s="84"/>
    </row>
    <row r="150" spans="1:12" ht="12.75">
      <c r="A150" s="77"/>
      <c r="C150" s="110"/>
      <c r="D150" s="77"/>
      <c r="E150" s="77"/>
      <c r="F150" s="77"/>
      <c r="G150" s="77"/>
      <c r="H150" s="109"/>
      <c r="I150" s="112"/>
      <c r="J150" s="120"/>
      <c r="K150" s="83"/>
      <c r="L150" s="84"/>
    </row>
    <row r="151" spans="1:12" ht="12.75">
      <c r="A151" s="77"/>
      <c r="C151" s="110"/>
      <c r="D151" s="77"/>
      <c r="E151" s="77"/>
      <c r="F151" s="77"/>
      <c r="G151" s="77"/>
      <c r="H151" s="109"/>
      <c r="I151" s="112"/>
      <c r="J151" s="120"/>
      <c r="K151" s="83"/>
      <c r="L151" s="84"/>
    </row>
    <row r="152" spans="1:12" ht="12.75">
      <c r="A152" s="77"/>
      <c r="C152" s="110"/>
      <c r="D152" s="77"/>
      <c r="E152" s="77"/>
      <c r="F152" s="77"/>
      <c r="G152" s="77"/>
      <c r="H152" s="109"/>
      <c r="I152" s="112"/>
      <c r="J152" s="120"/>
      <c r="K152" s="83"/>
      <c r="L152" s="84"/>
    </row>
    <row r="153" spans="1:12" ht="12.75">
      <c r="A153" s="77"/>
      <c r="C153" s="110"/>
      <c r="D153" s="77"/>
      <c r="E153" s="77"/>
      <c r="F153" s="77"/>
      <c r="G153" s="77"/>
      <c r="H153" s="109"/>
      <c r="I153" s="112"/>
      <c r="J153" s="120"/>
      <c r="K153" s="83"/>
      <c r="L153" s="84"/>
    </row>
    <row r="154" spans="1:12" ht="12.75">
      <c r="A154" s="77"/>
      <c r="C154" s="110"/>
      <c r="D154" s="77"/>
      <c r="E154" s="77"/>
      <c r="F154" s="77"/>
      <c r="G154" s="77"/>
      <c r="H154" s="109"/>
      <c r="I154" s="112"/>
      <c r="J154" s="120"/>
      <c r="K154" s="83"/>
      <c r="L154" s="84"/>
    </row>
    <row r="155" spans="1:12" ht="12.75">
      <c r="A155" s="77"/>
      <c r="C155" s="110"/>
      <c r="D155" s="77"/>
      <c r="E155" s="77"/>
      <c r="F155" s="77"/>
      <c r="G155" s="77"/>
      <c r="H155" s="109"/>
      <c r="I155" s="112"/>
      <c r="J155" s="120"/>
      <c r="K155" s="83"/>
      <c r="L155" s="84"/>
    </row>
    <row r="156" spans="1:12" ht="12.75">
      <c r="A156" s="77"/>
      <c r="C156" s="110"/>
      <c r="D156" s="77"/>
      <c r="E156" s="77"/>
      <c r="F156" s="77"/>
      <c r="G156" s="77"/>
      <c r="H156" s="109"/>
      <c r="I156" s="112"/>
      <c r="J156" s="120"/>
      <c r="K156" s="83"/>
      <c r="L156" s="84"/>
    </row>
    <row r="157" spans="1:12" ht="12.75">
      <c r="A157" s="77"/>
      <c r="C157" s="110"/>
      <c r="D157" s="77"/>
      <c r="E157" s="77"/>
      <c r="F157" s="77"/>
      <c r="G157" s="77"/>
      <c r="H157" s="109"/>
      <c r="I157" s="112"/>
      <c r="J157" s="120"/>
      <c r="K157" s="83"/>
      <c r="L157" s="84"/>
    </row>
    <row r="158" spans="1:12" ht="12.75">
      <c r="A158" s="77"/>
      <c r="C158" s="110"/>
      <c r="D158" s="77"/>
      <c r="E158" s="77"/>
      <c r="F158" s="77"/>
      <c r="G158" s="77"/>
      <c r="H158" s="109"/>
      <c r="I158" s="112"/>
      <c r="J158" s="120"/>
      <c r="K158" s="83"/>
      <c r="L158" s="84"/>
    </row>
    <row r="159" spans="1:12" ht="12.75">
      <c r="A159" s="77"/>
      <c r="C159" s="110"/>
      <c r="D159" s="77"/>
      <c r="E159" s="77"/>
      <c r="F159" s="77"/>
      <c r="G159" s="77"/>
      <c r="H159" s="109"/>
      <c r="I159" s="112"/>
      <c r="J159" s="120"/>
      <c r="K159" s="83"/>
      <c r="L159" s="84"/>
    </row>
    <row r="160" spans="1:12" ht="12.75">
      <c r="A160" s="77"/>
      <c r="C160" s="110"/>
      <c r="D160" s="77"/>
      <c r="E160" s="77"/>
      <c r="F160" s="77"/>
      <c r="G160" s="77"/>
      <c r="H160" s="109"/>
      <c r="I160" s="112"/>
      <c r="J160" s="120"/>
      <c r="K160" s="83"/>
      <c r="L160" s="84"/>
    </row>
    <row r="161" spans="1:12" ht="12.75">
      <c r="A161" s="77"/>
      <c r="C161" s="110"/>
      <c r="D161" s="77"/>
      <c r="E161" s="77"/>
      <c r="F161" s="77"/>
      <c r="G161" s="77"/>
      <c r="H161" s="109"/>
      <c r="I161" s="112"/>
      <c r="J161" s="120"/>
      <c r="K161" s="83"/>
      <c r="L161" s="84"/>
    </row>
    <row r="162" spans="1:12" ht="12.75">
      <c r="A162" s="77"/>
      <c r="C162" s="110"/>
      <c r="D162" s="77"/>
      <c r="E162" s="77"/>
      <c r="F162" s="77"/>
      <c r="G162" s="77"/>
      <c r="H162" s="109"/>
      <c r="I162" s="112"/>
      <c r="J162" s="120"/>
      <c r="K162" s="83"/>
      <c r="L162" s="84"/>
    </row>
    <row r="163" spans="1:12" ht="12.75">
      <c r="A163" s="77"/>
      <c r="C163" s="110"/>
      <c r="D163" s="77"/>
      <c r="E163" s="77"/>
      <c r="F163" s="77"/>
      <c r="G163" s="77"/>
      <c r="H163" s="109"/>
      <c r="I163" s="112"/>
      <c r="J163" s="120"/>
      <c r="K163" s="83"/>
      <c r="L163" s="84"/>
    </row>
    <row r="164" spans="1:12" ht="12.75">
      <c r="A164" s="77"/>
      <c r="C164" s="110"/>
      <c r="D164" s="77"/>
      <c r="E164" s="77"/>
      <c r="F164" s="77"/>
      <c r="G164" s="77"/>
      <c r="H164" s="109"/>
      <c r="I164" s="112"/>
      <c r="J164" s="120"/>
      <c r="K164" s="83"/>
      <c r="L164" s="84"/>
    </row>
    <row r="165" spans="1:12" ht="12.75">
      <c r="A165" s="77"/>
      <c r="C165" s="110"/>
      <c r="D165" s="77"/>
      <c r="E165" s="77"/>
      <c r="F165" s="77"/>
      <c r="G165" s="77"/>
      <c r="H165" s="109"/>
      <c r="I165" s="112"/>
      <c r="J165" s="120"/>
      <c r="K165" s="83"/>
      <c r="L165" s="84"/>
    </row>
    <row r="166" spans="1:12" ht="12.75">
      <c r="A166" s="77"/>
      <c r="C166" s="110"/>
      <c r="D166" s="77"/>
      <c r="E166" s="77"/>
      <c r="F166" s="77"/>
      <c r="G166" s="77"/>
      <c r="H166" s="109"/>
      <c r="I166" s="112"/>
      <c r="J166" s="120"/>
      <c r="K166" s="83"/>
      <c r="L166" s="84"/>
    </row>
    <row r="167" spans="1:12" ht="12.75">
      <c r="A167" s="77"/>
      <c r="C167" s="110"/>
      <c r="D167" s="77"/>
      <c r="E167" s="77"/>
      <c r="F167" s="77"/>
      <c r="G167" s="77"/>
      <c r="H167" s="109"/>
      <c r="I167" s="112"/>
      <c r="J167" s="120"/>
      <c r="K167" s="83"/>
      <c r="L167" s="84"/>
    </row>
    <row r="168" spans="1:12" ht="12.75">
      <c r="A168" s="77"/>
      <c r="C168" s="110"/>
      <c r="D168" s="77"/>
      <c r="E168" s="77"/>
      <c r="F168" s="77"/>
      <c r="G168" s="77"/>
      <c r="H168" s="109"/>
      <c r="I168" s="112"/>
      <c r="J168" s="120"/>
      <c r="K168" s="83"/>
      <c r="L168" s="84"/>
    </row>
    <row r="169" spans="1:12" ht="12.75">
      <c r="A169" s="77"/>
      <c r="C169" s="110"/>
      <c r="D169" s="77"/>
      <c r="E169" s="77"/>
      <c r="F169" s="77"/>
      <c r="G169" s="77"/>
      <c r="H169" s="109"/>
      <c r="I169" s="112"/>
      <c r="J169" s="120"/>
      <c r="K169" s="83"/>
      <c r="L169" s="84"/>
    </row>
    <row r="170" spans="1:12" ht="12.75">
      <c r="A170" s="77"/>
      <c r="C170" s="110"/>
      <c r="D170" s="77"/>
      <c r="E170" s="77"/>
      <c r="F170" s="77"/>
      <c r="G170" s="77"/>
      <c r="H170" s="109"/>
      <c r="I170" s="112"/>
      <c r="J170" s="120"/>
      <c r="K170" s="83"/>
      <c r="L170" s="84"/>
    </row>
    <row r="171" spans="1:12" ht="12.75">
      <c r="A171" s="77"/>
      <c r="C171" s="110"/>
      <c r="D171" s="77"/>
      <c r="E171" s="77"/>
      <c r="F171" s="77"/>
      <c r="G171" s="77"/>
      <c r="H171" s="109"/>
      <c r="I171" s="112"/>
      <c r="J171" s="120"/>
      <c r="K171" s="83"/>
      <c r="L171" s="84"/>
    </row>
    <row r="172" spans="1:12" ht="12.75">
      <c r="A172" s="77"/>
      <c r="C172" s="110"/>
      <c r="D172" s="77"/>
      <c r="E172" s="77"/>
      <c r="F172" s="77"/>
      <c r="G172" s="77"/>
      <c r="H172" s="109"/>
      <c r="I172" s="112"/>
      <c r="J172" s="120"/>
      <c r="K172" s="83"/>
      <c r="L172" s="84"/>
    </row>
    <row r="173" spans="1:12" ht="12.75">
      <c r="A173" s="77"/>
      <c r="C173" s="110"/>
      <c r="D173" s="77"/>
      <c r="E173" s="77"/>
      <c r="F173" s="77"/>
      <c r="G173" s="77"/>
      <c r="H173" s="109"/>
      <c r="I173" s="112"/>
      <c r="J173" s="120"/>
      <c r="K173" s="83"/>
      <c r="L173" s="84"/>
    </row>
    <row r="174" spans="1:12" ht="12.75">
      <c r="A174" s="77"/>
      <c r="C174" s="110"/>
      <c r="D174" s="77"/>
      <c r="E174" s="77"/>
      <c r="F174" s="77"/>
      <c r="G174" s="77"/>
      <c r="H174" s="109"/>
      <c r="I174" s="112"/>
      <c r="J174" s="120"/>
      <c r="K174" s="83"/>
      <c r="L174" s="84"/>
    </row>
    <row r="175" spans="1:12" ht="12.75">
      <c r="A175" s="77"/>
      <c r="C175" s="110"/>
      <c r="D175" s="77"/>
      <c r="E175" s="77"/>
      <c r="F175" s="77"/>
      <c r="G175" s="77"/>
      <c r="H175" s="109"/>
      <c r="I175" s="112"/>
      <c r="J175" s="120"/>
      <c r="K175" s="83"/>
      <c r="L175" s="84"/>
    </row>
    <row r="176" spans="1:12" ht="12.75">
      <c r="A176" s="77"/>
      <c r="C176" s="110"/>
      <c r="D176" s="77"/>
      <c r="E176" s="77"/>
      <c r="F176" s="77"/>
      <c r="G176" s="77"/>
      <c r="H176" s="109"/>
      <c r="I176" s="112"/>
      <c r="J176" s="120"/>
      <c r="K176" s="83"/>
      <c r="L176" s="84"/>
    </row>
    <row r="177" spans="1:12" ht="12.75">
      <c r="A177" s="77"/>
      <c r="C177" s="110"/>
      <c r="D177" s="77"/>
      <c r="E177" s="77"/>
      <c r="F177" s="77"/>
      <c r="G177" s="77"/>
      <c r="H177" s="109"/>
      <c r="I177" s="112"/>
      <c r="J177" s="120"/>
      <c r="K177" s="83"/>
      <c r="L177" s="84"/>
    </row>
    <row r="178" spans="1:12" ht="12.75">
      <c r="A178" s="77"/>
      <c r="C178" s="110"/>
      <c r="D178" s="77"/>
      <c r="E178" s="77"/>
      <c r="F178" s="77"/>
      <c r="G178" s="77"/>
      <c r="H178" s="109"/>
      <c r="I178" s="112"/>
      <c r="J178" s="120"/>
      <c r="K178" s="83"/>
      <c r="L178" s="84"/>
    </row>
    <row r="179" spans="1:12" ht="12.75">
      <c r="A179" s="77"/>
      <c r="C179" s="110"/>
      <c r="D179" s="77"/>
      <c r="E179" s="77"/>
      <c r="F179" s="77"/>
      <c r="G179" s="77"/>
      <c r="H179" s="109"/>
      <c r="I179" s="112"/>
      <c r="J179" s="120"/>
      <c r="K179" s="83"/>
      <c r="L179" s="84"/>
    </row>
    <row r="180" spans="1:12" ht="12.75">
      <c r="A180" s="77"/>
      <c r="C180" s="110"/>
      <c r="D180" s="77"/>
      <c r="E180" s="77"/>
      <c r="F180" s="77"/>
      <c r="G180" s="77"/>
      <c r="H180" s="109"/>
      <c r="I180" s="112"/>
      <c r="J180" s="120"/>
      <c r="K180" s="83"/>
      <c r="L180" s="84"/>
    </row>
    <row r="181" spans="1:12" ht="12.75">
      <c r="A181" s="77"/>
      <c r="C181" s="110"/>
      <c r="D181" s="77"/>
      <c r="E181" s="77"/>
      <c r="F181" s="77"/>
      <c r="G181" s="77"/>
      <c r="H181" s="109"/>
      <c r="I181" s="112"/>
      <c r="J181" s="120"/>
      <c r="K181" s="83"/>
      <c r="L181" s="84"/>
    </row>
    <row r="182" spans="1:12" ht="12.75">
      <c r="A182" s="77"/>
      <c r="C182" s="110"/>
      <c r="D182" s="77"/>
      <c r="E182" s="77"/>
      <c r="F182" s="77"/>
      <c r="G182" s="77"/>
      <c r="H182" s="109"/>
      <c r="I182" s="112"/>
      <c r="J182" s="120"/>
      <c r="K182" s="83"/>
      <c r="L182" s="84"/>
    </row>
    <row r="183" spans="1:12" ht="12.75">
      <c r="A183" s="77"/>
      <c r="C183" s="110"/>
      <c r="D183" s="77"/>
      <c r="E183" s="77"/>
      <c r="F183" s="77"/>
      <c r="G183" s="77"/>
      <c r="H183" s="109"/>
      <c r="I183" s="112"/>
      <c r="J183" s="120"/>
      <c r="K183" s="83"/>
      <c r="L183" s="84"/>
    </row>
    <row r="184" spans="1:12" ht="12.75">
      <c r="A184" s="77"/>
      <c r="C184" s="110"/>
      <c r="D184" s="77"/>
      <c r="E184" s="77"/>
      <c r="F184" s="77"/>
      <c r="G184" s="77"/>
      <c r="H184" s="109"/>
      <c r="I184" s="112"/>
      <c r="J184" s="120"/>
      <c r="K184" s="83"/>
      <c r="L184" s="84"/>
    </row>
    <row r="185" spans="1:12" ht="12.75">
      <c r="A185" s="77"/>
      <c r="C185" s="110"/>
      <c r="D185" s="77"/>
      <c r="E185" s="77"/>
      <c r="F185" s="77"/>
      <c r="G185" s="77"/>
      <c r="H185" s="109"/>
      <c r="I185" s="112"/>
      <c r="J185" s="120"/>
      <c r="K185" s="83"/>
      <c r="L185" s="84"/>
    </row>
    <row r="186" spans="1:12" ht="12.75">
      <c r="A186" s="77"/>
      <c r="C186" s="110"/>
      <c r="D186" s="77"/>
      <c r="E186" s="77"/>
      <c r="F186" s="77"/>
      <c r="G186" s="77"/>
      <c r="H186" s="109"/>
      <c r="I186" s="112"/>
      <c r="J186" s="120"/>
      <c r="K186" s="83"/>
      <c r="L186" s="84"/>
    </row>
    <row r="187" spans="1:12" ht="12.75">
      <c r="A187" s="77"/>
      <c r="C187" s="110"/>
      <c r="D187" s="77"/>
      <c r="E187" s="77"/>
      <c r="F187" s="77"/>
      <c r="G187" s="77"/>
      <c r="H187" s="109"/>
      <c r="I187" s="112"/>
      <c r="J187" s="120"/>
      <c r="K187" s="83"/>
      <c r="L187" s="84"/>
    </row>
    <row r="188" spans="1:12" ht="12.75">
      <c r="A188" s="77"/>
      <c r="C188" s="110"/>
      <c r="D188" s="77"/>
      <c r="E188" s="77"/>
      <c r="F188" s="77"/>
      <c r="G188" s="77"/>
      <c r="H188" s="109"/>
      <c r="I188" s="112"/>
      <c r="J188" s="120"/>
      <c r="K188" s="83"/>
      <c r="L188" s="84"/>
    </row>
    <row r="189" spans="1:12" ht="12.75">
      <c r="A189" s="77"/>
      <c r="C189" s="110"/>
      <c r="D189" s="77"/>
      <c r="E189" s="77"/>
      <c r="F189" s="77"/>
      <c r="G189" s="77"/>
      <c r="H189" s="109"/>
      <c r="I189" s="112"/>
      <c r="J189" s="120"/>
      <c r="K189" s="83"/>
      <c r="L189" s="84"/>
    </row>
    <row r="190" spans="1:12" ht="12.75">
      <c r="A190" s="77"/>
      <c r="C190" s="110"/>
      <c r="D190" s="77"/>
      <c r="E190" s="77"/>
      <c r="F190" s="77"/>
      <c r="G190" s="77"/>
      <c r="H190" s="109"/>
      <c r="I190" s="112"/>
      <c r="J190" s="120"/>
      <c r="K190" s="83"/>
      <c r="L190" s="84"/>
    </row>
    <row r="191" spans="1:12" ht="12.75">
      <c r="A191" s="77"/>
      <c r="C191" s="110"/>
      <c r="D191" s="77"/>
      <c r="E191" s="77"/>
      <c r="F191" s="77"/>
      <c r="G191" s="77"/>
      <c r="H191" s="109"/>
      <c r="I191" s="112"/>
      <c r="J191" s="120"/>
      <c r="K191" s="83"/>
      <c r="L191" s="84"/>
    </row>
    <row r="192" spans="1:12" ht="12.75">
      <c r="A192" s="77"/>
      <c r="C192" s="110"/>
      <c r="D192" s="77"/>
      <c r="E192" s="77"/>
      <c r="F192" s="77"/>
      <c r="G192" s="77"/>
      <c r="H192" s="109"/>
      <c r="I192" s="112"/>
      <c r="J192" s="120"/>
      <c r="K192" s="83"/>
      <c r="L192" s="84"/>
    </row>
    <row r="193" spans="1:12" ht="12.75">
      <c r="A193" s="77"/>
      <c r="C193" s="110"/>
      <c r="D193" s="77"/>
      <c r="E193" s="77"/>
      <c r="F193" s="77"/>
      <c r="G193" s="77"/>
      <c r="H193" s="109"/>
      <c r="I193" s="112"/>
      <c r="J193" s="120"/>
      <c r="K193" s="83"/>
      <c r="L193" s="84"/>
    </row>
    <row r="194" spans="1:12" ht="12.75">
      <c r="A194" s="77"/>
      <c r="C194" s="110"/>
      <c r="D194" s="77"/>
      <c r="E194" s="77"/>
      <c r="F194" s="77"/>
      <c r="G194" s="77"/>
      <c r="H194" s="109"/>
      <c r="I194" s="112"/>
      <c r="J194" s="120"/>
      <c r="K194" s="83"/>
      <c r="L194" s="84"/>
    </row>
    <row r="195" spans="1:12" ht="12.75">
      <c r="A195" s="77"/>
      <c r="C195" s="110"/>
      <c r="D195" s="77"/>
      <c r="E195" s="77"/>
      <c r="F195" s="77"/>
      <c r="G195" s="77"/>
      <c r="H195" s="109"/>
      <c r="I195" s="112"/>
      <c r="J195" s="120"/>
      <c r="K195" s="83"/>
      <c r="L195" s="84"/>
    </row>
    <row r="196" spans="1:12" ht="12.75">
      <c r="A196" s="77"/>
      <c r="C196" s="110"/>
      <c r="D196" s="77"/>
      <c r="E196" s="77"/>
      <c r="F196" s="77"/>
      <c r="G196" s="77"/>
      <c r="H196" s="109"/>
      <c r="I196" s="112"/>
      <c r="J196" s="120"/>
      <c r="K196" s="83"/>
      <c r="L196" s="84"/>
    </row>
    <row r="197" spans="1:12" ht="12.75">
      <c r="A197" s="77"/>
      <c r="C197" s="110"/>
      <c r="D197" s="77"/>
      <c r="E197" s="77"/>
      <c r="F197" s="77"/>
      <c r="G197" s="77"/>
      <c r="H197" s="109"/>
      <c r="I197" s="112"/>
      <c r="J197" s="120"/>
      <c r="K197" s="83"/>
      <c r="L197" s="84"/>
    </row>
    <row r="198" spans="1:12" ht="12.75">
      <c r="A198" s="77"/>
      <c r="C198" s="110"/>
      <c r="D198" s="77"/>
      <c r="E198" s="77"/>
      <c r="F198" s="77"/>
      <c r="G198" s="77"/>
      <c r="H198" s="109"/>
      <c r="I198" s="112"/>
      <c r="J198" s="120"/>
      <c r="K198" s="83"/>
      <c r="L198" s="84"/>
    </row>
    <row r="199" spans="1:12" ht="12.75">
      <c r="A199" s="77"/>
      <c r="C199" s="110"/>
      <c r="D199" s="77"/>
      <c r="E199" s="77"/>
      <c r="F199" s="77"/>
      <c r="G199" s="77"/>
      <c r="H199" s="109"/>
      <c r="I199" s="112"/>
      <c r="J199" s="120"/>
      <c r="K199" s="83"/>
      <c r="L199" s="84"/>
    </row>
    <row r="200" spans="1:12" ht="12.75">
      <c r="A200" s="77"/>
      <c r="C200" s="110"/>
      <c r="D200" s="77"/>
      <c r="E200" s="77"/>
      <c r="F200" s="77"/>
      <c r="G200" s="77"/>
      <c r="H200" s="109"/>
      <c r="I200" s="112"/>
      <c r="J200" s="120"/>
      <c r="K200" s="83"/>
      <c r="L200" s="84"/>
    </row>
    <row r="201" spans="1:12" ht="12.75">
      <c r="A201" s="77"/>
      <c r="C201" s="110"/>
      <c r="D201" s="77"/>
      <c r="E201" s="77"/>
      <c r="F201" s="77"/>
      <c r="G201" s="77"/>
      <c r="H201" s="109"/>
      <c r="I201" s="112"/>
      <c r="J201" s="120"/>
      <c r="K201" s="83"/>
      <c r="L201" s="84"/>
    </row>
    <row r="202" spans="1:12" ht="12.75">
      <c r="A202" s="77"/>
      <c r="C202" s="110"/>
      <c r="D202" s="77"/>
      <c r="E202" s="77"/>
      <c r="F202" s="77"/>
      <c r="G202" s="77"/>
      <c r="H202" s="109"/>
      <c r="I202" s="112"/>
      <c r="J202" s="120"/>
      <c r="K202" s="83"/>
      <c r="L202" s="84"/>
    </row>
    <row r="203" spans="1:12" ht="12.75">
      <c r="A203" s="77"/>
      <c r="C203" s="110"/>
      <c r="D203" s="77"/>
      <c r="E203" s="77"/>
      <c r="F203" s="77"/>
      <c r="G203" s="77"/>
      <c r="H203" s="109"/>
      <c r="I203" s="112"/>
      <c r="J203" s="120"/>
      <c r="K203" s="83"/>
      <c r="L203" s="84"/>
    </row>
    <row r="204" spans="1:12" ht="12.75">
      <c r="A204" s="77"/>
      <c r="C204" s="110"/>
      <c r="D204" s="77"/>
      <c r="E204" s="77"/>
      <c r="F204" s="77"/>
      <c r="G204" s="77"/>
      <c r="H204" s="109"/>
      <c r="I204" s="112"/>
      <c r="J204" s="120"/>
      <c r="K204" s="83"/>
      <c r="L204" s="84"/>
    </row>
    <row r="205" spans="1:12" ht="12.75">
      <c r="A205" s="77"/>
      <c r="C205" s="110"/>
      <c r="D205" s="77"/>
      <c r="E205" s="77"/>
      <c r="F205" s="77"/>
      <c r="G205" s="77"/>
      <c r="H205" s="109"/>
      <c r="I205" s="112"/>
      <c r="J205" s="120"/>
      <c r="K205" s="83"/>
      <c r="L205" s="84"/>
    </row>
    <row r="206" spans="1:12" ht="12.75">
      <c r="A206" s="77"/>
      <c r="C206" s="110"/>
      <c r="D206" s="77"/>
      <c r="E206" s="77"/>
      <c r="F206" s="77"/>
      <c r="G206" s="77"/>
      <c r="H206" s="109"/>
      <c r="I206" s="112"/>
      <c r="J206" s="120"/>
      <c r="K206" s="83"/>
      <c r="L206" s="84"/>
    </row>
    <row r="207" spans="1:12" ht="12.75">
      <c r="A207" s="77"/>
      <c r="C207" s="110"/>
      <c r="D207" s="77"/>
      <c r="E207" s="77"/>
      <c r="F207" s="77"/>
      <c r="G207" s="77"/>
      <c r="H207" s="109"/>
      <c r="I207" s="112"/>
      <c r="J207" s="120"/>
      <c r="K207" s="83"/>
      <c r="L207" s="84"/>
    </row>
    <row r="208" spans="1:12" ht="12.75">
      <c r="A208" s="77"/>
      <c r="C208" s="110"/>
      <c r="D208" s="77"/>
      <c r="E208" s="77"/>
      <c r="F208" s="77"/>
      <c r="G208" s="77"/>
      <c r="H208" s="109"/>
      <c r="I208" s="112"/>
      <c r="J208" s="120"/>
      <c r="K208" s="83"/>
      <c r="L208" s="84"/>
    </row>
    <row r="209" spans="1:12" ht="12.75">
      <c r="A209" s="77"/>
      <c r="C209" s="110"/>
      <c r="D209" s="77"/>
      <c r="E209" s="77"/>
      <c r="F209" s="77"/>
      <c r="G209" s="77"/>
      <c r="H209" s="109"/>
      <c r="I209" s="112"/>
      <c r="J209" s="120"/>
      <c r="K209" s="83"/>
      <c r="L209" s="84"/>
    </row>
    <row r="210" spans="1:12" ht="12.75">
      <c r="A210" s="77"/>
      <c r="C210" s="110"/>
      <c r="D210" s="77"/>
      <c r="E210" s="77"/>
      <c r="F210" s="77"/>
      <c r="G210" s="77"/>
      <c r="H210" s="109"/>
      <c r="I210" s="112"/>
      <c r="J210" s="120"/>
      <c r="K210" s="83"/>
      <c r="L210" s="84"/>
    </row>
    <row r="211" spans="1:12" ht="12.75">
      <c r="A211" s="77"/>
      <c r="C211" s="110"/>
      <c r="D211" s="77"/>
      <c r="E211" s="77"/>
      <c r="F211" s="77"/>
      <c r="G211" s="77"/>
      <c r="H211" s="109"/>
      <c r="I211" s="112"/>
      <c r="J211" s="120"/>
      <c r="K211" s="83"/>
      <c r="L211" s="84"/>
    </row>
    <row r="212" spans="1:12" ht="12.75">
      <c r="A212" s="77"/>
      <c r="C212" s="110"/>
      <c r="D212" s="77"/>
      <c r="E212" s="77"/>
      <c r="F212" s="77"/>
      <c r="G212" s="77"/>
      <c r="H212" s="109"/>
      <c r="I212" s="112"/>
      <c r="J212" s="120"/>
      <c r="K212" s="83"/>
      <c r="L212" s="84"/>
    </row>
    <row r="213" spans="1:12" ht="12.75">
      <c r="A213" s="77"/>
      <c r="C213" s="110"/>
      <c r="D213" s="77"/>
      <c r="E213" s="77"/>
      <c r="F213" s="77"/>
      <c r="G213" s="77"/>
      <c r="H213" s="109"/>
      <c r="I213" s="112"/>
      <c r="J213" s="120"/>
      <c r="K213" s="83"/>
      <c r="L213" s="84"/>
    </row>
    <row r="214" spans="1:12" ht="12.75">
      <c r="A214" s="77"/>
      <c r="C214" s="110"/>
      <c r="D214" s="77"/>
      <c r="E214" s="77"/>
      <c r="F214" s="77"/>
      <c r="G214" s="77"/>
      <c r="H214" s="109"/>
      <c r="I214" s="112"/>
      <c r="J214" s="120"/>
      <c r="K214" s="83"/>
      <c r="L214" s="84"/>
    </row>
    <row r="215" spans="1:12" ht="12.75">
      <c r="A215" s="77"/>
      <c r="C215" s="110"/>
      <c r="D215" s="77"/>
      <c r="E215" s="77"/>
      <c r="F215" s="77"/>
      <c r="G215" s="77"/>
      <c r="H215" s="109"/>
      <c r="I215" s="112"/>
      <c r="J215" s="120"/>
      <c r="K215" s="83"/>
      <c r="L215" s="84"/>
    </row>
    <row r="216" spans="1:12" ht="12.75">
      <c r="A216" s="77"/>
      <c r="C216" s="110"/>
      <c r="D216" s="77"/>
      <c r="E216" s="77"/>
      <c r="F216" s="77"/>
      <c r="G216" s="77"/>
      <c r="H216" s="109"/>
      <c r="I216" s="112"/>
      <c r="J216" s="120"/>
      <c r="K216" s="83"/>
      <c r="L216" s="84"/>
    </row>
    <row r="217" spans="1:12" ht="12.75">
      <c r="A217" s="77"/>
      <c r="C217" s="110"/>
      <c r="D217" s="77"/>
      <c r="E217" s="77"/>
      <c r="F217" s="77"/>
      <c r="G217" s="77"/>
      <c r="H217" s="109"/>
      <c r="I217" s="112"/>
      <c r="J217" s="120"/>
      <c r="K217" s="83"/>
      <c r="L217" s="84"/>
    </row>
    <row r="218" spans="1:12" ht="12.75">
      <c r="A218" s="77"/>
      <c r="C218" s="110"/>
      <c r="D218" s="77"/>
      <c r="E218" s="77"/>
      <c r="F218" s="77"/>
      <c r="G218" s="77"/>
      <c r="H218" s="109"/>
      <c r="I218" s="112"/>
      <c r="J218" s="120"/>
      <c r="K218" s="83"/>
      <c r="L218" s="84"/>
    </row>
    <row r="219" spans="1:12" ht="12.75">
      <c r="A219" s="77"/>
      <c r="C219" s="110"/>
      <c r="D219" s="77"/>
      <c r="E219" s="77"/>
      <c r="F219" s="77"/>
      <c r="G219" s="77"/>
      <c r="H219" s="109"/>
      <c r="I219" s="112"/>
      <c r="J219" s="120"/>
      <c r="K219" s="83"/>
      <c r="L219" s="84"/>
    </row>
    <row r="220" spans="1:12" ht="12.75">
      <c r="A220" s="77"/>
      <c r="C220" s="110"/>
      <c r="D220" s="77"/>
      <c r="E220" s="77"/>
      <c r="F220" s="77"/>
      <c r="G220" s="77"/>
      <c r="H220" s="109"/>
      <c r="I220" s="112"/>
      <c r="J220" s="120"/>
      <c r="K220" s="83"/>
      <c r="L220" s="84"/>
    </row>
    <row r="221" spans="1:12" ht="12.75">
      <c r="A221" s="77"/>
      <c r="C221" s="110"/>
      <c r="D221" s="77"/>
      <c r="E221" s="77"/>
      <c r="F221" s="77"/>
      <c r="G221" s="77"/>
      <c r="H221" s="109"/>
      <c r="I221" s="112"/>
      <c r="J221" s="120"/>
      <c r="K221" s="83"/>
      <c r="L221" s="84"/>
    </row>
    <row r="222" spans="1:12" ht="12.75">
      <c r="A222" s="77"/>
      <c r="C222" s="110"/>
      <c r="D222" s="77"/>
      <c r="E222" s="77"/>
      <c r="F222" s="77"/>
      <c r="G222" s="77"/>
      <c r="H222" s="109"/>
      <c r="I222" s="112"/>
      <c r="J222" s="120"/>
      <c r="K222" s="83"/>
      <c r="L222" s="84"/>
    </row>
    <row r="223" spans="1:12" ht="12.75">
      <c r="A223" s="77"/>
      <c r="C223" s="110"/>
      <c r="D223" s="77"/>
      <c r="E223" s="77"/>
      <c r="F223" s="77"/>
      <c r="G223" s="77"/>
      <c r="H223" s="109"/>
      <c r="I223" s="112"/>
      <c r="J223" s="120"/>
      <c r="K223" s="83"/>
      <c r="L223" s="84"/>
    </row>
    <row r="224" spans="1:12" ht="12.75">
      <c r="A224" s="77"/>
      <c r="C224" s="110"/>
      <c r="D224" s="77"/>
      <c r="E224" s="77"/>
      <c r="F224" s="77"/>
      <c r="G224" s="77"/>
      <c r="H224" s="109"/>
      <c r="I224" s="112"/>
      <c r="J224" s="120"/>
      <c r="K224" s="83"/>
      <c r="L224" s="84"/>
    </row>
    <row r="225" spans="1:12" ht="12.75">
      <c r="A225" s="77"/>
      <c r="C225" s="110"/>
      <c r="D225" s="77"/>
      <c r="E225" s="77"/>
      <c r="F225" s="77"/>
      <c r="G225" s="77"/>
      <c r="H225" s="109"/>
      <c r="I225" s="112"/>
      <c r="J225" s="120"/>
      <c r="K225" s="83"/>
      <c r="L225" s="84"/>
    </row>
    <row r="226" spans="1:12" ht="12.75">
      <c r="A226" s="77"/>
      <c r="C226" s="110"/>
      <c r="D226" s="77"/>
      <c r="E226" s="77"/>
      <c r="F226" s="77"/>
      <c r="G226" s="77"/>
      <c r="H226" s="109"/>
      <c r="I226" s="112"/>
      <c r="J226" s="120"/>
      <c r="K226" s="83"/>
      <c r="L226" s="84"/>
    </row>
    <row r="227" spans="1:12" ht="12.75">
      <c r="A227" s="77"/>
      <c r="C227" s="110"/>
      <c r="D227" s="77"/>
      <c r="E227" s="77"/>
      <c r="F227" s="77"/>
      <c r="G227" s="77"/>
      <c r="H227" s="109"/>
      <c r="I227" s="112"/>
      <c r="J227" s="120"/>
      <c r="K227" s="83"/>
      <c r="L227" s="84"/>
    </row>
    <row r="228" spans="1:12" ht="12.75">
      <c r="A228" s="77"/>
      <c r="C228" s="110"/>
      <c r="D228" s="77"/>
      <c r="E228" s="77"/>
      <c r="F228" s="77"/>
      <c r="G228" s="77"/>
      <c r="H228" s="109"/>
      <c r="I228" s="112"/>
      <c r="J228" s="120"/>
      <c r="K228" s="83"/>
      <c r="L228" s="84"/>
    </row>
    <row r="229" spans="1:12" ht="12.75">
      <c r="A229" s="77"/>
      <c r="C229" s="110"/>
      <c r="D229" s="77"/>
      <c r="E229" s="77"/>
      <c r="F229" s="77"/>
      <c r="G229" s="77"/>
      <c r="H229" s="109"/>
      <c r="I229" s="112"/>
      <c r="J229" s="120"/>
      <c r="K229" s="83"/>
      <c r="L229" s="84"/>
    </row>
    <row r="230" spans="1:12" ht="12.75">
      <c r="A230" s="77"/>
      <c r="C230" s="110"/>
      <c r="D230" s="77"/>
      <c r="E230" s="77"/>
      <c r="F230" s="77"/>
      <c r="G230" s="77"/>
      <c r="H230" s="109"/>
      <c r="I230" s="112"/>
      <c r="J230" s="120"/>
      <c r="K230" s="83"/>
      <c r="L230" s="84"/>
    </row>
    <row r="231" spans="1:12" ht="12.75">
      <c r="A231" s="77"/>
      <c r="C231" s="110"/>
      <c r="D231" s="77"/>
      <c r="E231" s="77"/>
      <c r="F231" s="77"/>
      <c r="G231" s="77"/>
      <c r="H231" s="109"/>
      <c r="I231" s="112"/>
      <c r="J231" s="120"/>
      <c r="K231" s="83"/>
      <c r="L231" s="84"/>
    </row>
    <row r="232" spans="1:12" ht="12.75">
      <c r="A232" s="77"/>
      <c r="C232" s="110"/>
      <c r="D232" s="77"/>
      <c r="E232" s="77"/>
      <c r="F232" s="77"/>
      <c r="G232" s="77"/>
      <c r="H232" s="109"/>
      <c r="I232" s="112"/>
      <c r="J232" s="120"/>
      <c r="K232" s="83"/>
      <c r="L232" s="84"/>
    </row>
    <row r="233" spans="1:12" ht="12.75">
      <c r="A233" s="77"/>
      <c r="C233" s="110"/>
      <c r="D233" s="77"/>
      <c r="E233" s="77"/>
      <c r="F233" s="77"/>
      <c r="G233" s="77"/>
      <c r="H233" s="109"/>
      <c r="I233" s="112"/>
      <c r="J233" s="120"/>
      <c r="K233" s="83"/>
      <c r="L233" s="84"/>
    </row>
    <row r="234" spans="1:12" ht="12.75">
      <c r="A234" s="77"/>
      <c r="C234" s="110"/>
      <c r="D234" s="77"/>
      <c r="E234" s="77"/>
      <c r="F234" s="77"/>
      <c r="G234" s="77"/>
      <c r="H234" s="109"/>
      <c r="I234" s="112"/>
      <c r="J234" s="120"/>
      <c r="K234" s="83"/>
      <c r="L234" s="84"/>
    </row>
    <row r="235" spans="1:12" ht="12.75">
      <c r="A235" s="77"/>
      <c r="C235" s="110"/>
      <c r="D235" s="77"/>
      <c r="E235" s="77"/>
      <c r="F235" s="77"/>
      <c r="G235" s="77"/>
      <c r="H235" s="109"/>
      <c r="I235" s="112"/>
      <c r="J235" s="120"/>
      <c r="K235" s="83"/>
      <c r="L235" s="84"/>
    </row>
    <row r="236" spans="1:12" ht="12.75">
      <c r="A236" s="77"/>
      <c r="C236" s="110"/>
      <c r="D236" s="77"/>
      <c r="E236" s="77"/>
      <c r="F236" s="77"/>
      <c r="G236" s="77"/>
      <c r="H236" s="109"/>
      <c r="I236" s="112"/>
      <c r="J236" s="120"/>
      <c r="K236" s="83"/>
      <c r="L236" s="84"/>
    </row>
    <row r="237" spans="1:12" ht="12.75">
      <c r="A237" s="77"/>
      <c r="C237" s="110"/>
      <c r="D237" s="77"/>
      <c r="E237" s="77"/>
      <c r="F237" s="77"/>
      <c r="G237" s="77"/>
      <c r="H237" s="109"/>
      <c r="I237" s="112"/>
      <c r="J237" s="120"/>
      <c r="K237" s="83"/>
      <c r="L237" s="84"/>
    </row>
    <row r="238" spans="1:12" ht="12.75">
      <c r="A238" s="77"/>
      <c r="C238" s="110"/>
      <c r="D238" s="77"/>
      <c r="E238" s="77"/>
      <c r="F238" s="77"/>
      <c r="G238" s="77"/>
      <c r="H238" s="109"/>
      <c r="I238" s="112"/>
      <c r="J238" s="120"/>
      <c r="K238" s="83"/>
      <c r="L238" s="84"/>
    </row>
    <row r="239" spans="1:12" ht="12.75">
      <c r="A239" s="77"/>
      <c r="C239" s="110"/>
      <c r="D239" s="77"/>
      <c r="E239" s="77"/>
      <c r="F239" s="77"/>
      <c r="G239" s="77"/>
      <c r="H239" s="109"/>
      <c r="I239" s="112"/>
      <c r="J239" s="120"/>
      <c r="K239" s="83"/>
      <c r="L239" s="84"/>
    </row>
    <row r="240" spans="1:12" ht="12.75">
      <c r="A240" s="77"/>
      <c r="C240" s="110"/>
      <c r="D240" s="77"/>
      <c r="E240" s="77"/>
      <c r="F240" s="77"/>
      <c r="G240" s="77"/>
      <c r="H240" s="109"/>
      <c r="I240" s="112"/>
      <c r="J240" s="120"/>
      <c r="K240" s="83"/>
      <c r="L240" s="84"/>
    </row>
    <row r="241" spans="1:12" ht="12.75">
      <c r="A241" s="77"/>
      <c r="C241" s="110"/>
      <c r="D241" s="77"/>
      <c r="E241" s="77"/>
      <c r="F241" s="77"/>
      <c r="G241" s="77"/>
      <c r="H241" s="109"/>
      <c r="I241" s="112"/>
      <c r="J241" s="120"/>
      <c r="K241" s="83"/>
      <c r="L241" s="84"/>
    </row>
    <row r="242" spans="1:12" ht="12.75">
      <c r="A242" s="77"/>
      <c r="C242" s="110"/>
      <c r="D242" s="77"/>
      <c r="E242" s="77"/>
      <c r="F242" s="77"/>
      <c r="G242" s="77"/>
      <c r="H242" s="109"/>
      <c r="I242" s="112"/>
      <c r="J242" s="120"/>
      <c r="K242" s="83"/>
      <c r="L242" s="84"/>
    </row>
    <row r="243" spans="1:12" ht="12.75">
      <c r="A243" s="77"/>
      <c r="C243" s="110"/>
      <c r="D243" s="77"/>
      <c r="E243" s="77"/>
      <c r="F243" s="77"/>
      <c r="G243" s="77"/>
      <c r="H243" s="109"/>
      <c r="I243" s="112"/>
      <c r="J243" s="120"/>
      <c r="K243" s="83"/>
      <c r="L243" s="84"/>
    </row>
    <row r="244" spans="1:12" ht="12.75">
      <c r="A244" s="77"/>
      <c r="C244" s="110"/>
      <c r="D244" s="77"/>
      <c r="E244" s="77"/>
      <c r="F244" s="77"/>
      <c r="G244" s="77"/>
      <c r="H244" s="109"/>
      <c r="I244" s="112"/>
      <c r="J244" s="120"/>
      <c r="K244" s="83"/>
      <c r="L244" s="84"/>
    </row>
    <row r="245" spans="1:12" ht="12.75">
      <c r="A245" s="77"/>
      <c r="C245" s="110"/>
      <c r="D245" s="77"/>
      <c r="E245" s="77"/>
      <c r="F245" s="77"/>
      <c r="G245" s="77"/>
      <c r="H245" s="109"/>
      <c r="I245" s="112"/>
      <c r="J245" s="120"/>
      <c r="K245" s="83"/>
      <c r="L245" s="84"/>
    </row>
    <row r="246" spans="1:12" ht="12.75">
      <c r="A246" s="77"/>
      <c r="C246" s="110"/>
      <c r="D246" s="77"/>
      <c r="E246" s="77"/>
      <c r="F246" s="77"/>
      <c r="G246" s="77"/>
      <c r="H246" s="109"/>
      <c r="I246" s="112"/>
      <c r="J246" s="120"/>
      <c r="K246" s="83"/>
      <c r="L246" s="84"/>
    </row>
    <row r="247" spans="1:7" ht="12.75">
      <c r="A247" s="77"/>
      <c r="C247" s="110"/>
      <c r="D247" s="77"/>
      <c r="E247" s="77"/>
      <c r="F247" s="77"/>
      <c r="G247" s="77"/>
    </row>
  </sheetData>
  <sheetProtection/>
  <mergeCells count="12">
    <mergeCell ref="L8:L9"/>
    <mergeCell ref="A4:G4"/>
    <mergeCell ref="A8:A9"/>
    <mergeCell ref="B8:B9"/>
    <mergeCell ref="C8:C9"/>
    <mergeCell ref="D8:D9"/>
    <mergeCell ref="A57:G57"/>
    <mergeCell ref="A76:G76"/>
    <mergeCell ref="A16:G16"/>
    <mergeCell ref="A27:G27"/>
    <mergeCell ref="D110:E110"/>
    <mergeCell ref="A38:G38"/>
  </mergeCells>
  <printOptions/>
  <pageMargins left="0.6692913385826772" right="0" top="2.362204724409449" bottom="0.35433070866141736" header="0.6692913385826772" footer="0.15748031496062992"/>
  <pageSetup horizontalDpi="300" verticalDpi="300" orientation="portrait" paperSize="9" scale="70" r:id="rId3"/>
  <headerFooter alignWithMargins="0">
    <oddFooter>&amp;CPágina &amp;P de &amp;N</oddFooter>
  </headerFooter>
  <rowBreaks count="1" manualBreakCount="1">
    <brk id="63" max="6" man="1"/>
  </rowBreaks>
  <legacyDrawing r:id="rId2"/>
  <oleObjects>
    <oleObject progId="Equation.3" shapeId="16696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tabSelected="1" zoomScalePageLayoutView="0" workbookViewId="0" topLeftCell="A1">
      <selection activeCell="C30" sqref="C30"/>
    </sheetView>
  </sheetViews>
  <sheetFormatPr defaultColWidth="9.140625" defaultRowHeight="12.75"/>
  <cols>
    <col min="1" max="1" width="6.57421875" style="9" customWidth="1"/>
    <col min="2" max="2" width="36.140625" style="7" customWidth="1"/>
    <col min="3" max="3" width="19.28125" style="7" bestFit="1" customWidth="1"/>
    <col min="4" max="4" width="7.421875" style="7" bestFit="1" customWidth="1"/>
    <col min="5" max="5" width="9.8515625" style="7" bestFit="1" customWidth="1"/>
    <col min="6" max="6" width="4.8515625" style="32" customWidth="1"/>
    <col min="7" max="7" width="12.00390625" style="7" bestFit="1" customWidth="1"/>
    <col min="8" max="8" width="6.421875" style="7" bestFit="1" customWidth="1"/>
    <col min="9" max="16384" width="9.140625" style="7" customWidth="1"/>
  </cols>
  <sheetData>
    <row r="1" spans="1:6" ht="15.75" customHeight="1">
      <c r="A1" s="19" t="str">
        <f>ORCA!A1</f>
        <v>PREFEITURA MUNICIPAL DE TIMBÓ</v>
      </c>
      <c r="B1" s="18"/>
      <c r="C1" s="8"/>
      <c r="D1" s="1"/>
      <c r="E1" s="1"/>
      <c r="F1" s="33"/>
    </row>
    <row r="2" spans="1:6" ht="12.75">
      <c r="A2" s="19" t="str">
        <f>ORCA!A2</f>
        <v>SECRETARIA DE PLANEJAMENTO, TRÂNSITO E MEIO AMBIENTE</v>
      </c>
      <c r="B2" s="18"/>
      <c r="C2" s="1"/>
      <c r="D2" s="1"/>
      <c r="E2" s="1"/>
      <c r="F2" s="33"/>
    </row>
    <row r="3" spans="1:8" ht="12.75">
      <c r="A3" s="239" t="s">
        <v>13</v>
      </c>
      <c r="B3" s="240"/>
      <c r="C3" s="240"/>
      <c r="D3" s="240"/>
      <c r="E3" s="240"/>
      <c r="F3" s="240"/>
      <c r="G3" s="240"/>
      <c r="H3" s="241"/>
    </row>
    <row r="4" spans="1:8" ht="12.75">
      <c r="A4" s="39" t="str">
        <f>ORCA!A5</f>
        <v>PROJETO : </v>
      </c>
      <c r="B4" s="48" t="str">
        <f>ORCA!B5</f>
        <v>PAVIMENTAÇÕES DAS CURVAS DE ACESSO AO MORRO AZUL</v>
      </c>
      <c r="C4" s="41"/>
      <c r="D4" s="41"/>
      <c r="E4" s="40"/>
      <c r="F4" s="54"/>
      <c r="G4" s="42"/>
      <c r="H4" s="43"/>
    </row>
    <row r="5" spans="1:8" ht="12.75">
      <c r="A5" s="63" t="str">
        <f>ORCA!A6</f>
        <v>LOCAL: :</v>
      </c>
      <c r="B5" s="64" t="str">
        <f>ORCA!B6</f>
        <v>MORRO AZUL</v>
      </c>
      <c r="C5" s="45"/>
      <c r="D5" s="65"/>
      <c r="E5" s="66"/>
      <c r="F5" s="46"/>
      <c r="G5" s="44"/>
      <c r="H5" s="47"/>
    </row>
    <row r="6" spans="1:8" s="13" customFormat="1" ht="12.75">
      <c r="A6" s="244" t="s">
        <v>0</v>
      </c>
      <c r="B6" s="246" t="s">
        <v>14</v>
      </c>
      <c r="C6" s="61" t="s">
        <v>22</v>
      </c>
      <c r="D6" s="237" t="s">
        <v>17</v>
      </c>
      <c r="E6" s="242" t="s">
        <v>26</v>
      </c>
      <c r="F6" s="243"/>
      <c r="G6" s="62" t="s">
        <v>22</v>
      </c>
      <c r="H6" s="61" t="s">
        <v>17</v>
      </c>
    </row>
    <row r="7" spans="1:8" s="13" customFormat="1" ht="13.5" thickBot="1">
      <c r="A7" s="245"/>
      <c r="B7" s="247"/>
      <c r="C7" s="14" t="s">
        <v>4</v>
      </c>
      <c r="D7" s="238"/>
      <c r="E7" s="20" t="s">
        <v>15</v>
      </c>
      <c r="F7" s="27" t="s">
        <v>17</v>
      </c>
      <c r="G7" s="21" t="s">
        <v>4</v>
      </c>
      <c r="H7" s="14" t="s">
        <v>4</v>
      </c>
    </row>
    <row r="8" spans="1:12" s="68" customFormat="1" ht="13.5" thickTop="1">
      <c r="A8" s="69">
        <v>1</v>
      </c>
      <c r="B8" s="70" t="str">
        <f>ORCA!B10</f>
        <v>SERVIÇOS INICIAIS</v>
      </c>
      <c r="C8" s="10">
        <f>ORCA!G15</f>
        <v>2201.94</v>
      </c>
      <c r="D8" s="11">
        <f aca="true" t="shared" si="0" ref="D8:D20">SUM(C8*100%/$C$22)</f>
        <v>0.013247104884254027</v>
      </c>
      <c r="E8" s="23">
        <f>SUM($C$8*F8)</f>
        <v>2201.94</v>
      </c>
      <c r="F8" s="28">
        <v>1</v>
      </c>
      <c r="G8" s="35">
        <f>SUM(E8)</f>
        <v>2201.94</v>
      </c>
      <c r="H8" s="36">
        <f>SUM(F8)</f>
        <v>1</v>
      </c>
      <c r="I8" s="7"/>
      <c r="J8" s="7"/>
      <c r="K8" s="7"/>
      <c r="L8" s="7"/>
    </row>
    <row r="9" spans="1:8" ht="12.75">
      <c r="A9" s="55">
        <v>2</v>
      </c>
      <c r="B9" s="10" t="str">
        <f>ORCA!B17</f>
        <v>ESCAVAÇÕES E REMOÇÕES</v>
      </c>
      <c r="C9" s="10">
        <f>ORCA!G20</f>
        <v>1011.28</v>
      </c>
      <c r="D9" s="11">
        <f t="shared" si="0"/>
        <v>0.0060839678771212715</v>
      </c>
      <c r="E9" s="23">
        <f>SUM($C$9*F9)</f>
        <v>1011.28</v>
      </c>
      <c r="F9" s="28">
        <v>1</v>
      </c>
      <c r="G9" s="35">
        <f>SUM(E9)</f>
        <v>1011.28</v>
      </c>
      <c r="H9" s="36">
        <f aca="true" t="shared" si="1" ref="H9:H20">SUM(F9)</f>
        <v>1</v>
      </c>
    </row>
    <row r="10" spans="1:8" ht="12.75">
      <c r="A10" s="55">
        <v>3</v>
      </c>
      <c r="B10" s="10" t="str">
        <f>ORCA!B21</f>
        <v>PAVIMENTAÇÃO</v>
      </c>
      <c r="C10" s="10">
        <f>ORCA!G25</f>
        <v>28143.64</v>
      </c>
      <c r="D10" s="11">
        <f t="shared" si="0"/>
        <v>0.16931512707189433</v>
      </c>
      <c r="E10" s="23">
        <f>SUM($C$10*F10)</f>
        <v>28143.64</v>
      </c>
      <c r="F10" s="28">
        <v>1</v>
      </c>
      <c r="G10" s="35">
        <f>SUM(E10)</f>
        <v>28143.64</v>
      </c>
      <c r="H10" s="36">
        <f t="shared" si="1"/>
        <v>1</v>
      </c>
    </row>
    <row r="11" spans="1:8" ht="12.75">
      <c r="A11" s="55">
        <v>4</v>
      </c>
      <c r="B11" s="10" t="str">
        <f>ORCA!B28</f>
        <v>ESCAVAÇÕES E REMOÇÕES</v>
      </c>
      <c r="C11" s="10">
        <f>ORCA!G31</f>
        <v>1491.0900000000001</v>
      </c>
      <c r="D11" s="11">
        <f t="shared" si="0"/>
        <v>0.008970555792556718</v>
      </c>
      <c r="E11" s="23">
        <f>SUM($C$11*F11)</f>
        <v>1491.0900000000001</v>
      </c>
      <c r="F11" s="28">
        <v>1</v>
      </c>
      <c r="G11" s="35">
        <f>SUM(E11)</f>
        <v>1491.0900000000001</v>
      </c>
      <c r="H11" s="36">
        <f t="shared" si="1"/>
        <v>1</v>
      </c>
    </row>
    <row r="12" spans="1:8" ht="12.75">
      <c r="A12" s="55">
        <v>5</v>
      </c>
      <c r="B12" s="10" t="str">
        <f>ORCA!B32</f>
        <v>PAVIMENTAÇÃO</v>
      </c>
      <c r="C12" s="10">
        <f>ORCA!G36</f>
        <v>41496.46</v>
      </c>
      <c r="D12" s="11">
        <f t="shared" si="0"/>
        <v>0.24964711025062075</v>
      </c>
      <c r="E12" s="23">
        <f>SUM($C$12*F12)</f>
        <v>41496.46</v>
      </c>
      <c r="F12" s="28">
        <v>1</v>
      </c>
      <c r="G12" s="35">
        <f>SUM(E12)</f>
        <v>41496.46</v>
      </c>
      <c r="H12" s="36">
        <f t="shared" si="1"/>
        <v>1</v>
      </c>
    </row>
    <row r="13" spans="1:8" ht="12.75">
      <c r="A13" s="55">
        <v>6</v>
      </c>
      <c r="B13" s="10" t="str">
        <f>ORCA!B39</f>
        <v>ESCAVAÇÕES E REMOÇÕES</v>
      </c>
      <c r="C13" s="10">
        <f>ORCA!G44</f>
        <v>1362.91</v>
      </c>
      <c r="D13" s="11">
        <f t="shared" si="0"/>
        <v>0.008199411299943985</v>
      </c>
      <c r="E13" s="23">
        <f>SUM($C$13*F13)</f>
        <v>1362.91</v>
      </c>
      <c r="F13" s="28">
        <v>1</v>
      </c>
      <c r="G13" s="35">
        <f>SUM(E13)</f>
        <v>1362.91</v>
      </c>
      <c r="H13" s="36">
        <f t="shared" si="1"/>
        <v>1</v>
      </c>
    </row>
    <row r="14" spans="1:8" ht="12.75">
      <c r="A14" s="55">
        <v>7</v>
      </c>
      <c r="B14" s="10" t="str">
        <f>ORCA!B45</f>
        <v>PAVIMENTAÇÃO</v>
      </c>
      <c r="C14" s="10">
        <f>ORCA!G49</f>
        <v>15244.380000000001</v>
      </c>
      <c r="D14" s="11">
        <f t="shared" si="0"/>
        <v>0.09171180902087452</v>
      </c>
      <c r="E14" s="23">
        <f>SUM($C$14*F14)</f>
        <v>15244.380000000001</v>
      </c>
      <c r="F14" s="28">
        <v>1</v>
      </c>
      <c r="G14" s="35">
        <f aca="true" t="shared" si="2" ref="G14:G20">SUM(E14)</f>
        <v>15244.380000000001</v>
      </c>
      <c r="H14" s="36">
        <f t="shared" si="1"/>
        <v>1</v>
      </c>
    </row>
    <row r="15" spans="1:8" ht="12.75">
      <c r="A15" s="55">
        <v>8</v>
      </c>
      <c r="B15" s="10" t="str">
        <f>ORCA!B50</f>
        <v>DRENAGEM PLUVIAL</v>
      </c>
      <c r="C15" s="10">
        <f>ORCA!G55</f>
        <v>3718.22</v>
      </c>
      <c r="D15" s="11">
        <f t="shared" si="0"/>
        <v>0.02236920639196845</v>
      </c>
      <c r="E15" s="23">
        <f>SUM($C$15*F15)</f>
        <v>3718.22</v>
      </c>
      <c r="F15" s="28">
        <v>1</v>
      </c>
      <c r="G15" s="35">
        <f t="shared" si="2"/>
        <v>3718.22</v>
      </c>
      <c r="H15" s="36">
        <f t="shared" si="1"/>
        <v>1</v>
      </c>
    </row>
    <row r="16" spans="1:8" ht="12.75">
      <c r="A16" s="55">
        <v>9</v>
      </c>
      <c r="B16" s="10" t="str">
        <f>ORCA!B58</f>
        <v>ESCAVAÇÕES E REMOÇÕES</v>
      </c>
      <c r="C16" s="10">
        <f>ORCA!G63</f>
        <v>3584.83</v>
      </c>
      <c r="D16" s="11">
        <f t="shared" si="0"/>
        <v>0.021566717986057915</v>
      </c>
      <c r="E16" s="23">
        <f>SUM($C$16*F16)</f>
        <v>3584.83</v>
      </c>
      <c r="F16" s="28">
        <v>1</v>
      </c>
      <c r="G16" s="35">
        <f t="shared" si="2"/>
        <v>3584.83</v>
      </c>
      <c r="H16" s="36">
        <f t="shared" si="1"/>
        <v>1</v>
      </c>
    </row>
    <row r="17" spans="1:8" ht="12.75">
      <c r="A17" s="55">
        <v>10</v>
      </c>
      <c r="B17" s="10" t="str">
        <f>ORCA!B64</f>
        <v>PAVIMENTAÇÃO</v>
      </c>
      <c r="C17" s="10">
        <f>ORCA!G68</f>
        <v>38954</v>
      </c>
      <c r="D17" s="11">
        <f t="shared" si="0"/>
        <v>0.23435140088341708</v>
      </c>
      <c r="E17" s="23">
        <f>SUM($C$17*F17)</f>
        <v>38954</v>
      </c>
      <c r="F17" s="28">
        <v>1</v>
      </c>
      <c r="G17" s="35">
        <f t="shared" si="2"/>
        <v>38954</v>
      </c>
      <c r="H17" s="36">
        <f t="shared" si="1"/>
        <v>1</v>
      </c>
    </row>
    <row r="18" spans="1:8" ht="12.75">
      <c r="A18" s="55">
        <v>11</v>
      </c>
      <c r="B18" s="10" t="str">
        <f>ORCA!B69</f>
        <v>DRENAGEM PLUVIAL</v>
      </c>
      <c r="C18" s="10">
        <f>ORCA!G74</f>
        <v>2709.4</v>
      </c>
      <c r="D18" s="11">
        <f t="shared" si="0"/>
        <v>0.0163000381360972</v>
      </c>
      <c r="E18" s="23">
        <f>SUM($C$18*F18)</f>
        <v>2709.4</v>
      </c>
      <c r="F18" s="28">
        <v>1</v>
      </c>
      <c r="G18" s="35">
        <f t="shared" si="2"/>
        <v>2709.4</v>
      </c>
      <c r="H18" s="36">
        <f t="shared" si="1"/>
        <v>1</v>
      </c>
    </row>
    <row r="19" spans="1:8" ht="12.75">
      <c r="A19" s="55">
        <v>12</v>
      </c>
      <c r="B19" s="10" t="str">
        <f>ORCA!B77</f>
        <v>ESCAVAÇÕES E REMOÇÕES</v>
      </c>
      <c r="C19" s="10">
        <f>ORCA!G80</f>
        <v>912.3399999999999</v>
      </c>
      <c r="D19" s="11">
        <f t="shared" si="0"/>
        <v>0.005488734329772981</v>
      </c>
      <c r="E19" s="23">
        <f>SUM($C$19*F19)</f>
        <v>912.3399999999999</v>
      </c>
      <c r="F19" s="28">
        <v>1</v>
      </c>
      <c r="G19" s="35">
        <f t="shared" si="2"/>
        <v>912.3399999999999</v>
      </c>
      <c r="H19" s="36">
        <f t="shared" si="1"/>
        <v>1</v>
      </c>
    </row>
    <row r="20" spans="1:8" ht="12.75">
      <c r="A20" s="55">
        <v>13</v>
      </c>
      <c r="B20" s="10" t="str">
        <f>ORCA!B81</f>
        <v>PAVIMENTAÇÃO</v>
      </c>
      <c r="C20" s="10">
        <f>ORCA!G85</f>
        <v>25389.98</v>
      </c>
      <c r="D20" s="12">
        <f t="shared" si="0"/>
        <v>0.1527488160754208</v>
      </c>
      <c r="E20" s="23">
        <f>SUM($C$20*F20)</f>
        <v>25389.98</v>
      </c>
      <c r="F20" s="28">
        <v>1</v>
      </c>
      <c r="G20" s="35">
        <f t="shared" si="2"/>
        <v>25389.98</v>
      </c>
      <c r="H20" s="36">
        <f t="shared" si="1"/>
        <v>1</v>
      </c>
    </row>
    <row r="21" spans="1:8" ht="12.75">
      <c r="A21" s="56"/>
      <c r="B21" s="10"/>
      <c r="C21" s="25"/>
      <c r="D21" s="12"/>
      <c r="E21" s="23"/>
      <c r="F21" s="28"/>
      <c r="G21" s="35"/>
      <c r="H21" s="36"/>
    </row>
    <row r="22" spans="1:9" s="5" customFormat="1" ht="14.25">
      <c r="A22" s="57"/>
      <c r="B22" s="67" t="s">
        <v>21</v>
      </c>
      <c r="C22" s="71">
        <f>SUM(C8:C20)</f>
        <v>166220.47</v>
      </c>
      <c r="D22" s="72">
        <f>SUM(D8:D20)</f>
        <v>1</v>
      </c>
      <c r="E22" s="58"/>
      <c r="F22" s="59"/>
      <c r="G22" s="60"/>
      <c r="H22" s="59"/>
      <c r="I22" s="49"/>
    </row>
    <row r="23" spans="1:9" s="5" customFormat="1" ht="12.75">
      <c r="A23" s="6"/>
      <c r="B23" s="3" t="s">
        <v>18</v>
      </c>
      <c r="C23" s="2"/>
      <c r="D23" s="4"/>
      <c r="E23" s="50"/>
      <c r="F23" s="29"/>
      <c r="G23" s="50"/>
      <c r="H23" s="51"/>
      <c r="I23" s="49"/>
    </row>
    <row r="24" spans="1:9" s="5" customFormat="1" ht="12.75">
      <c r="A24" s="6"/>
      <c r="B24" s="3" t="s">
        <v>19</v>
      </c>
      <c r="C24" s="52"/>
      <c r="D24" s="52"/>
      <c r="E24" s="26">
        <f>SUM(E8:E20)</f>
        <v>166220.47</v>
      </c>
      <c r="F24" s="29">
        <f>SUM(E24*100%/$C$22)</f>
        <v>1</v>
      </c>
      <c r="G24" s="38">
        <f>SUM(G8:G21)</f>
        <v>166220.47</v>
      </c>
      <c r="H24" s="29">
        <f>SUM(G24*100%/$C$22)</f>
        <v>1</v>
      </c>
      <c r="I24" s="49"/>
    </row>
    <row r="25" spans="1:9" s="5" customFormat="1" ht="12.75">
      <c r="A25" s="6"/>
      <c r="B25" s="3" t="s">
        <v>20</v>
      </c>
      <c r="C25" s="2"/>
      <c r="D25" s="4"/>
      <c r="E25" s="50">
        <f>SUM(E24)</f>
        <v>166220.47</v>
      </c>
      <c r="F25" s="29">
        <f>SUM(F24)</f>
        <v>1</v>
      </c>
      <c r="G25" s="50"/>
      <c r="H25" s="51"/>
      <c r="I25" s="49"/>
    </row>
    <row r="26" spans="4:8" ht="12.75">
      <c r="D26" s="24"/>
      <c r="E26" s="15"/>
      <c r="F26" s="30"/>
      <c r="G26" s="37"/>
      <c r="H26" s="37"/>
    </row>
    <row r="27" spans="4:8" ht="12.75">
      <c r="D27" s="24"/>
      <c r="E27" s="22"/>
      <c r="F27" s="53"/>
      <c r="G27" s="37"/>
      <c r="H27" s="37"/>
    </row>
    <row r="31" spans="4:8" ht="12.75">
      <c r="D31" s="24"/>
      <c r="E31" s="16"/>
      <c r="F31" s="34"/>
      <c r="G31" s="37"/>
      <c r="H31" s="37"/>
    </row>
    <row r="32" spans="4:8" ht="12.75">
      <c r="D32" s="24"/>
      <c r="E32" s="15"/>
      <c r="F32" s="30"/>
      <c r="G32" s="37"/>
      <c r="H32" s="37"/>
    </row>
    <row r="33" spans="4:8" ht="12.75">
      <c r="D33" s="24"/>
      <c r="E33" s="17"/>
      <c r="F33" s="30"/>
      <c r="G33" s="37"/>
      <c r="H33" s="37"/>
    </row>
    <row r="34" spans="4:8" ht="12.75">
      <c r="D34" s="24"/>
      <c r="E34" s="15"/>
      <c r="F34" s="30"/>
      <c r="G34" s="37"/>
      <c r="H34" s="37"/>
    </row>
    <row r="35" spans="4:8" ht="12.75">
      <c r="D35" s="24"/>
      <c r="E35" s="16"/>
      <c r="F35" s="34"/>
      <c r="G35" s="37"/>
      <c r="H35" s="37"/>
    </row>
    <row r="36" spans="4:8" ht="12.75">
      <c r="D36" s="24"/>
      <c r="E36" s="15"/>
      <c r="F36" s="30"/>
      <c r="G36" s="37"/>
      <c r="H36" s="37"/>
    </row>
    <row r="37" spans="4:8" ht="12.75">
      <c r="D37" s="24"/>
      <c r="E37" s="24"/>
      <c r="F37" s="31"/>
      <c r="G37" s="37"/>
      <c r="H37" s="37"/>
    </row>
    <row r="38" spans="4:8" ht="12.75">
      <c r="D38" s="24"/>
      <c r="E38" s="24"/>
      <c r="F38" s="31"/>
      <c r="G38" s="37"/>
      <c r="H38" s="37"/>
    </row>
    <row r="39" spans="4:8" ht="12.75">
      <c r="D39" s="24"/>
      <c r="E39" s="24"/>
      <c r="F39" s="31"/>
      <c r="G39" s="18"/>
      <c r="H39" s="18"/>
    </row>
    <row r="40" spans="4:8" ht="12.75">
      <c r="D40" s="24"/>
      <c r="E40" s="24"/>
      <c r="F40" s="31"/>
      <c r="G40" s="18"/>
      <c r="H40" s="18"/>
    </row>
    <row r="41" spans="4:8" ht="12.75">
      <c r="D41" s="24"/>
      <c r="E41" s="24"/>
      <c r="F41" s="31"/>
      <c r="G41" s="18"/>
      <c r="H41" s="18"/>
    </row>
    <row r="42" spans="4:5" ht="12.75">
      <c r="D42" s="9"/>
      <c r="E42" s="9"/>
    </row>
    <row r="43" spans="4:5" ht="12.75">
      <c r="D43" s="9"/>
      <c r="E43" s="9"/>
    </row>
    <row r="44" spans="4:5" ht="12.75">
      <c r="D44" s="9"/>
      <c r="E44" s="9"/>
    </row>
    <row r="45" spans="4:5" ht="12.75">
      <c r="D45" s="9"/>
      <c r="E45" s="9"/>
    </row>
    <row r="46" spans="4:5" ht="12.75">
      <c r="D46" s="9"/>
      <c r="E46" s="9"/>
    </row>
    <row r="47" spans="4:5" ht="12.75">
      <c r="D47" s="9"/>
      <c r="E47" s="9"/>
    </row>
    <row r="48" spans="4:5" ht="12.75">
      <c r="D48" s="9"/>
      <c r="E48" s="9"/>
    </row>
    <row r="49" spans="4:5" ht="12.75">
      <c r="D49" s="9"/>
      <c r="E49" s="9"/>
    </row>
  </sheetData>
  <sheetProtection/>
  <mergeCells count="5">
    <mergeCell ref="D6:D7"/>
    <mergeCell ref="A3:H3"/>
    <mergeCell ref="E6:F6"/>
    <mergeCell ref="A6:A7"/>
    <mergeCell ref="B6:B7"/>
  </mergeCells>
  <printOptions/>
  <pageMargins left="0.7086614173228347" right="0.2755905511811024" top="2.1653543307086616" bottom="0.1968503937007874" header="0.7480314960629921" footer="0.1968503937007874"/>
  <pageSetup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Timbo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Felipe Ramos dos Santos</cp:lastModifiedBy>
  <cp:lastPrinted>2016-09-20T12:40:58Z</cp:lastPrinted>
  <dcterms:created xsi:type="dcterms:W3CDTF">2001-12-06T19:05:24Z</dcterms:created>
  <dcterms:modified xsi:type="dcterms:W3CDTF">2016-09-26T12:03:14Z</dcterms:modified>
  <cp:category/>
  <cp:version/>
  <cp:contentType/>
  <cp:contentStatus/>
</cp:coreProperties>
</file>