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805" activeTab="0"/>
  </bookViews>
  <sheets>
    <sheet name="ADOT. PROF 0.6" sheetId="1" r:id="rId1"/>
    <sheet name="Composições" sheetId="2" r:id="rId2"/>
    <sheet name="Cronograma" sheetId="3" r:id="rId3"/>
    <sheet name="BDI" sheetId="4" r:id="rId4"/>
  </sheets>
  <externalReferences>
    <externalReference r:id="rId7"/>
  </externalReferences>
  <definedNames>
    <definedName name="_xlnm.Print_Area" localSheetId="0">'ADOT. PROF 0.6'!$A$1:$G$45</definedName>
    <definedName name="_xlnm.Print_Area" localSheetId="3">'BDI'!$A$1:$E$28</definedName>
    <definedName name="_xlnm.Print_Area" localSheetId="1">'Composições'!$A$1:$G$69</definedName>
  </definedNames>
  <calcPr fullCalcOnLoad="1"/>
</workbook>
</file>

<file path=xl/sharedStrings.xml><?xml version="1.0" encoding="utf-8"?>
<sst xmlns="http://schemas.openxmlformats.org/spreadsheetml/2006/main" count="395" uniqueCount="165">
  <si>
    <t>ITEM</t>
  </si>
  <si>
    <t>DISCRIMINAÇÃO DOS SERVIÇOS</t>
  </si>
  <si>
    <t>QUANT</t>
  </si>
  <si>
    <t xml:space="preserve">PROJETO : </t>
  </si>
  <si>
    <t>m³</t>
  </si>
  <si>
    <t>UNID</t>
  </si>
  <si>
    <t>TOTAL GERAL</t>
  </si>
  <si>
    <t>3.1</t>
  </si>
  <si>
    <t>3.2</t>
  </si>
  <si>
    <t>3.4</t>
  </si>
  <si>
    <t>PREÇO UNIT.</t>
  </si>
  <si>
    <t>PREÇO TOTAL COM BDI</t>
  </si>
  <si>
    <t>3.3</t>
  </si>
  <si>
    <t>BDI</t>
  </si>
  <si>
    <t>CUSTO UNIT</t>
  </si>
  <si>
    <t>CÓDIGO</t>
  </si>
  <si>
    <t>TABELA</t>
  </si>
  <si>
    <t>SINAPI</t>
  </si>
  <si>
    <t>ETAPAS</t>
  </si>
  <si>
    <t>VALOR</t>
  </si>
  <si>
    <t>%</t>
  </si>
  <si>
    <t>60 DIAS</t>
  </si>
  <si>
    <t>90 DIAS</t>
  </si>
  <si>
    <t>TOTAL</t>
  </si>
  <si>
    <t>VALOR TOTAL</t>
  </si>
  <si>
    <t>VALOR ACUM. PARCIAL</t>
  </si>
  <si>
    <t>VALOR ACUM. GLOBAL</t>
  </si>
  <si>
    <t>SICRO</t>
  </si>
  <si>
    <t>DATA DA COTAÇÃO: 08/12/2014</t>
  </si>
  <si>
    <t xml:space="preserve">LOCAL: </t>
  </si>
  <si>
    <t>m³xkm</t>
  </si>
  <si>
    <t>COMPOSIÇÃO DE PREÇO UNITÁRIA</t>
  </si>
  <si>
    <r>
      <rPr>
        <b/>
        <sz val="12"/>
        <color indexed="8"/>
        <rFont val="Calibri"/>
        <family val="2"/>
      </rPr>
      <t>Unidade:</t>
    </r>
    <r>
      <rPr>
        <sz val="12"/>
        <color indexed="8"/>
        <rFont val="Calibri"/>
        <family val="2"/>
      </rPr>
      <t xml:space="preserve">       m</t>
    </r>
  </si>
  <si>
    <t>TIPO</t>
  </si>
  <si>
    <t>DESCRIÇÃO</t>
  </si>
  <si>
    <t>QUANT.</t>
  </si>
  <si>
    <t>CUSTO</t>
  </si>
  <si>
    <t>CUSTO UNIT.</t>
  </si>
  <si>
    <t>m3</t>
  </si>
  <si>
    <t>REFERÊNCIA</t>
  </si>
  <si>
    <t>Escavação mecanizada de valas em material 1a cat., inclusive carga</t>
  </si>
  <si>
    <t>Transporte de material com caminhão basculante</t>
  </si>
  <si>
    <t>txkm</t>
  </si>
  <si>
    <t>Sub-base de macadame hidráulico com brita comercial</t>
  </si>
  <si>
    <t>Carga, manobra e descarga de materiais</t>
  </si>
  <si>
    <t>t</t>
  </si>
  <si>
    <t>Regularização e compactação de reforço de subleito em solo estabilizado sem mistura com compactação a 100% proctor normal</t>
  </si>
  <si>
    <t>PREÇO UNITÁRIO ADOTADO (SEM BDI) /m²</t>
  </si>
  <si>
    <t>Calculo do BDI</t>
  </si>
  <si>
    <t>Item componente do BDI</t>
  </si>
  <si>
    <t>1 Quartil (%)</t>
  </si>
  <si>
    <t>Médio (%)</t>
  </si>
  <si>
    <t>3 Quartil (%)</t>
  </si>
  <si>
    <t>Valor Adotado</t>
  </si>
  <si>
    <t>Administração Central</t>
  </si>
  <si>
    <t>Seguro e Garantia</t>
  </si>
  <si>
    <t>Risco</t>
  </si>
  <si>
    <t>Despesas Financeiras</t>
  </si>
  <si>
    <t>Lucro</t>
  </si>
  <si>
    <t>Tributos</t>
  </si>
  <si>
    <t>PIS</t>
  </si>
  <si>
    <t>COFINS</t>
  </si>
  <si>
    <t>ISS</t>
  </si>
  <si>
    <t>CPRB</t>
  </si>
  <si>
    <t>AC = taxa de Administração Central</t>
  </si>
  <si>
    <t>S = taxa de seguro</t>
  </si>
  <si>
    <t xml:space="preserve">R = taxa de risco </t>
  </si>
  <si>
    <t>G = taxa de garantia</t>
  </si>
  <si>
    <t>DF = taxa de despesas financeiras</t>
  </si>
  <si>
    <t>L = taxa lucro/renumeração</t>
  </si>
  <si>
    <t>I = taxa de tributos</t>
  </si>
  <si>
    <t>4.1</t>
  </si>
  <si>
    <t>4.2</t>
  </si>
  <si>
    <t>4.3</t>
  </si>
  <si>
    <t>4.4</t>
  </si>
  <si>
    <t>Recuperação de camadas abaixo do pavimento existente *2</t>
  </si>
  <si>
    <t>RUA BELÉM (TRECHO ENTRE RUA CAMPINAS E RUA SÃO PAULO) - TIMBÓ - SC</t>
  </si>
  <si>
    <t>TOTAL GERAL GLOBAL</t>
  </si>
  <si>
    <t>30 DIAS</t>
  </si>
  <si>
    <t>120 DIAS</t>
  </si>
  <si>
    <t>150 DIAS</t>
  </si>
  <si>
    <t>H</t>
  </si>
  <si>
    <t>M³</t>
  </si>
  <si>
    <t xml:space="preserve">Base ou sub-base de brita graduada com brita comercial </t>
  </si>
  <si>
    <t>SINAPI - 01/2018    /  SICRO - 09/2017</t>
  </si>
  <si>
    <t>m</t>
  </si>
  <si>
    <t xml:space="preserve">QUANTITATIVO E ORÇAMENTO  </t>
  </si>
  <si>
    <t>ESCAVAÇÃO MECANIZADA DE VALA COM PROF. ATÉ 1,5 M(MÉDIA ENTRE MONTANTE E JUSANTE/UMA COMPOSIÇÃO POR TRECHO), COM ESCAVADEIRA HIDRÁULICA (0,8 M3), LARG. DE 1,5M A 2,5 M, EM SOLO DE 1A CATEGORIA, LOCAIS COM BAIXO NÍVEL DE INTERFERÊNCIA.</t>
  </si>
  <si>
    <t>TRANSPORTE COM CAMINHÃO BASCULANTE DE 10 M3, EM VIA URBANA PAVIMENTADA, DMT ACIMA DE 30KM (UNIDADE: M3XKM)</t>
  </si>
  <si>
    <t>EXECUÇÃO E COMPACTAÇÃO DE BASE E OU SUB BASE COM PEDRA RACHÃO - EXCLUSIVE ESCAVAÇÃO, CARGA E TRANSPORTE.</t>
  </si>
  <si>
    <t>EXECUÇÃO E COMPACTAÇÃO DE BASE E OU SUB BASE COM BRITA GRADUADA SIMPLES - EXCLUSIVE CARGA E TRANSPORTE.</t>
  </si>
  <si>
    <t>und</t>
  </si>
  <si>
    <t>LASTRO DE BRITA COMERCIAL 10 CM</t>
  </si>
  <si>
    <t>TABUA DE MADEIRA NAO APARELHADA *2,5 X 10 CM (1 X 4 ") PINUS</t>
  </si>
  <si>
    <t>ASSENTAMENTO DE TUBO DE CONCRETO PARA REDES COLETORAS DE ÁGUAS PLUVIAIS, DIÂMETRO DE 400 MM, JUNTA RÍGIDA, INSTALADO EM LOCAL COM BAIXO NÍVEL DE INTERFERÊNCIAS (NÃO INCLUI FORNECIMENTO)</t>
  </si>
  <si>
    <t>ASSENTAMENTO DE TUBO DE CONCRETO PARA REDES COLETORAS DE ÁGUAS PLUVIAIS, DIÂMETRO DE 600 MM, JUNTA RÍGIDA, INSTALADO EM LOCAL COM BAIXO NÍVEL DE INTERFERÊNCIAS (NÃO INCLUI FORNECIMENTO)</t>
  </si>
  <si>
    <t>ASSENTAMENTO DE TUBO DE CONCRETO PARA REDES COLETORAS DE ÁGUAS PLUVIAIS, DIÂMETRO DE 800 MM, JUNTA RÍGIDA, INSTALADO EM LOCAL COM BAIXO NÍVEL DE INTERFERÊNCIAS (NÃO INCLUI FORNECIMENTO)</t>
  </si>
  <si>
    <t>ASSENTAMENTO DE TUBO DE CONCRETO PARA REDES COLETORAS DE ÁGUAS PLUVIAIS, DIÂMETRO DE 1000 MM, JUNTA RÍGIDA, INSTALADO EM LOCAL COM BAIXO NÍVEL DE INTERFERÊNCIAS (NÃO INCLUI FORNECIMENTO)</t>
  </si>
  <si>
    <t>ASSENTAMENTO DE TUBO DE CONCRETO PARA REDES COLETORAS DE ÁGUAS PLUVIAIS, DIÂMETRO DE 1200 MM, JUNTA RÍGIDA, INSTALADO EM LOCAL COM BAIXO NÍVEL DE INTERFERÊNCIAS (NÃO INCLUI FORNECIMENTO)</t>
  </si>
  <si>
    <t>FORNECIMENTOTUBO CONCRETO ARMADO, CLASSE PA-1, PB, DN 400 MM, PARA AGUAS PLUVIAIS (NBR 8890)</t>
  </si>
  <si>
    <t>M</t>
  </si>
  <si>
    <t>TUBO CONCRETO ARMADO, CLASSE PA-1, PB, DN 600 MM, PARA AGUAS PLUVIAIS (NBR 8890)</t>
  </si>
  <si>
    <t>TUBO CONCRETO ARMADO, CLASSE PA-1, PB, DN 800 MM, PARA AGUAS PLUVIAIS (NBR 8890)</t>
  </si>
  <si>
    <t>TUBO CONCRETO ARMADO, CLASSE PA-2, PB, DN 1000 MM, PARA AGUAS PLUVIAIS (NBR 8890)</t>
  </si>
  <si>
    <t>TUBO CONCRETO ARMADO, CLASSE PA-2, PB, DN 1200 MM, PARA AGUAS PLUVIAIS (NBR 8890)</t>
  </si>
  <si>
    <t>74157/004</t>
  </si>
  <si>
    <t>PEDREIRO COM ENCARGOS COMPLEMENTARES</t>
  </si>
  <si>
    <t>SERVENTE COM ENCARGOS COMPLEMENTARES</t>
  </si>
  <si>
    <t>LASTRO DE CONCRETO MAGRO</t>
  </si>
  <si>
    <t>LANCAMENTO/APLICACAO MANUAL DE CONCRETO EM FUNDACOES</t>
  </si>
  <si>
    <t>M²</t>
  </si>
  <si>
    <t>FABRICAÇÃO DE FÔRMA EM MADEIRA SERRADA</t>
  </si>
  <si>
    <t>ARMACAO EM TELA DE ACO SOLDADA NERVURADA Q-138, ACO CA-60, 4,2MM, MALHA 10X10CM</t>
  </si>
  <si>
    <t>ARGAMASSA TRAÇO 1:3 (CIMENTO E AREIA MÉDIA) PARA CONTRAPISO, PREPARO MECÂNICO COM BETONEIRA 400 L.</t>
  </si>
  <si>
    <t>UND</t>
  </si>
  <si>
    <t>GRELHA FOFO SIMPLES COM REQUADRO, CARGA MAXIMA 12,5 T, *300 X 1000* MM, E= *15*MM, AREA ESTACIONAMENTO CARRO PASSEIO</t>
  </si>
  <si>
    <t>ALVENARIA EM TIJOLO CERAMICO MACICO 5X10X20CM 1/2 VEZ (ESPESSURA 10CM), ASSENTADO COM ARGAMASSA TRACO 1:2:8 (CIMENTO, CAL E AREIA)</t>
  </si>
  <si>
    <t>CONCRETAGEM CONCRETO FCK 20 MPA - LANÇAMENTO, ADENSAMENTO E ACABAMENTO.</t>
  </si>
  <si>
    <r>
      <rPr>
        <b/>
        <sz val="12"/>
        <color indexed="8"/>
        <rFont val="Calibri"/>
        <family val="2"/>
      </rPr>
      <t>Unidade:</t>
    </r>
    <r>
      <rPr>
        <sz val="12"/>
        <color indexed="8"/>
        <rFont val="Calibri"/>
        <family val="2"/>
      </rPr>
      <t xml:space="preserve">       UND</t>
    </r>
  </si>
  <si>
    <t>CAIXA COLETORA PARA TUBO DN 1200 MM</t>
  </si>
  <si>
    <t>CAIXA COLETORA PARA TUBO DN 800MM</t>
  </si>
  <si>
    <t>CAIXA COLETORA PARA TUBO DN 400MM</t>
  </si>
  <si>
    <t>CAIXA COLETORA PARA TUBO DN 1000 MM</t>
  </si>
  <si>
    <t>4.5</t>
  </si>
  <si>
    <t>4.5.1</t>
  </si>
  <si>
    <t>4.5.2</t>
  </si>
  <si>
    <t>4.5.3</t>
  </si>
  <si>
    <t>4.5.4</t>
  </si>
  <si>
    <t>4.5.5</t>
  </si>
  <si>
    <t>4.5.6</t>
  </si>
  <si>
    <t>4.5.7</t>
  </si>
  <si>
    <t>4.5.8</t>
  </si>
  <si>
    <t>4.5.9</t>
  </si>
  <si>
    <t>4.5.10</t>
  </si>
  <si>
    <t>4.5.11</t>
  </si>
  <si>
    <t>4.5.12</t>
  </si>
  <si>
    <t>4.5.13</t>
  </si>
  <si>
    <t>4.5.14</t>
  </si>
  <si>
    <t>4.5.15</t>
  </si>
  <si>
    <t>4.5.16</t>
  </si>
  <si>
    <t>4.5.17</t>
  </si>
  <si>
    <t>RECUPERAÇÃO DO PAVIMENTO EXISTENTE</t>
  </si>
  <si>
    <t>DRENAGEM DE ÁGUAS PLUVIAIS</t>
  </si>
  <si>
    <t>COMP.</t>
  </si>
  <si>
    <t>Referencila de Preços SINAPI -OUTUBRO/2018 sem desoneração, itens omissos na referida tabela foi adotado SICRO MAIO/2018</t>
  </si>
  <si>
    <t>BDI =</t>
  </si>
  <si>
    <t>ÁREA = 987,38 m²</t>
  </si>
  <si>
    <t>DATA: DEZEMBRO DE 2018</t>
  </si>
  <si>
    <t>RECUPERAÇÃO DAS CAMADAS ABAIXO DO PAVIMENTO EXISTENTE</t>
  </si>
  <si>
    <t>Licitado</t>
  </si>
  <si>
    <t>licitado</t>
  </si>
  <si>
    <t>teste de viga</t>
  </si>
  <si>
    <t>4.5.18</t>
  </si>
  <si>
    <t>BOCA DE BUEIRO TUBULAR DE CONCRETO ARMADO, ESCONSIDADE 10°</t>
  </si>
  <si>
    <t>DATA: ABRIL DE 2019</t>
  </si>
  <si>
    <t xml:space="preserve">TOTAL </t>
  </si>
  <si>
    <t>SINAPI - Fevereiro 2019</t>
  </si>
  <si>
    <t>CRONOGRAMA FISICO E FINANCEIRO</t>
  </si>
  <si>
    <t>1º SEMANA</t>
  </si>
  <si>
    <t>2º SEMANA</t>
  </si>
  <si>
    <t>3º SEMANA</t>
  </si>
  <si>
    <t>4º SEMANA</t>
  </si>
  <si>
    <t>5º SEMANA</t>
  </si>
  <si>
    <t>RECUPERAÇÃO DAS CAMADAS ABAIXO DO PAVIMENTO EXISTENTE E DRENAGEM ARISTILIANO RAMOS</t>
  </si>
  <si>
    <t>RUA ARISTILIANO RAMOS - TIMBÓ - SC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</si>
</sst>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[$€-2]* #,##0.00_);_([$€-2]* \(#,##0.00\);_([$€-2]* &quot;-&quot;??_)"/>
    <numFmt numFmtId="166" formatCode="_(* #,##0.00_);_(* \(#,##0.00\);_(* &quot;-&quot;??_);_(@_)"/>
    <numFmt numFmtId="167" formatCode="&quot;R$&quot;\ #,##0.00"/>
    <numFmt numFmtId="168" formatCode="_(&quot;R$&quot;* #,##0.00_);_(&quot;R$&quot;* \(#,##0.00\);_(&quot;R$&quot;* &quot;-&quot;??_);_(@_)"/>
    <numFmt numFmtId="169" formatCode="&quot;R$&quot;#,##0.00"/>
    <numFmt numFmtId="170" formatCode="0.0%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7"/>
      <name val="Swis721 Ex BT"/>
      <family val="2"/>
    </font>
    <font>
      <sz val="9"/>
      <name val="Swis721 Ex BT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/>
      <top/>
      <bottom style="double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165" fontId="0" fillId="0" borderId="0" applyFont="0" applyFill="0" applyBorder="0" applyAlignment="0" applyProtection="0"/>
    <xf numFmtId="0" fontId="46" fillId="30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vertical="justify"/>
    </xf>
    <xf numFmtId="0" fontId="0" fillId="0" borderId="0" xfId="0" applyAlignment="1">
      <alignment vertical="justify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justify"/>
    </xf>
    <xf numFmtId="4" fontId="3" fillId="0" borderId="0" xfId="0" applyNumberFormat="1" applyFont="1" applyAlignment="1">
      <alignment/>
    </xf>
    <xf numFmtId="10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right"/>
    </xf>
    <xf numFmtId="0" fontId="5" fillId="33" borderId="0" xfId="0" applyFont="1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34" borderId="10" xfId="0" applyFont="1" applyFill="1" applyBorder="1" applyAlignment="1">
      <alignment/>
    </xf>
    <xf numFmtId="4" fontId="4" fillId="34" borderId="11" xfId="0" applyNumberFormat="1" applyFont="1" applyFill="1" applyBorder="1" applyAlignment="1">
      <alignment/>
    </xf>
    <xf numFmtId="164" fontId="4" fillId="34" borderId="11" xfId="46" applyFont="1" applyFill="1" applyBorder="1" applyAlignment="1">
      <alignment/>
    </xf>
    <xf numFmtId="10" fontId="0" fillId="0" borderId="0" xfId="0" applyNumberFormat="1" applyAlignment="1">
      <alignment/>
    </xf>
    <xf numFmtId="0" fontId="0" fillId="0" borderId="12" xfId="0" applyBorder="1" applyAlignment="1">
      <alignment/>
    </xf>
    <xf numFmtId="0" fontId="4" fillId="0" borderId="12" xfId="0" applyFont="1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right"/>
    </xf>
    <xf numFmtId="0" fontId="0" fillId="34" borderId="1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4" fontId="0" fillId="34" borderId="14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vertical="justify"/>
    </xf>
    <xf numFmtId="0" fontId="5" fillId="35" borderId="12" xfId="0" applyFont="1" applyFill="1" applyBorder="1" applyAlignment="1">
      <alignment/>
    </xf>
    <xf numFmtId="4" fontId="5" fillId="35" borderId="12" xfId="0" applyNumberFormat="1" applyFont="1" applyFill="1" applyBorder="1" applyAlignment="1">
      <alignment/>
    </xf>
    <xf numFmtId="0" fontId="5" fillId="35" borderId="12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55" fillId="0" borderId="13" xfId="0" applyFont="1" applyBorder="1" applyAlignment="1">
      <alignment horizontal="center" vertical="top"/>
    </xf>
    <xf numFmtId="0" fontId="56" fillId="0" borderId="16" xfId="0" applyFont="1" applyBorder="1" applyAlignment="1">
      <alignment horizontal="center" wrapText="1"/>
    </xf>
    <xf numFmtId="0" fontId="55" fillId="0" borderId="17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12" xfId="0" applyFont="1" applyBorder="1" applyAlignment="1">
      <alignment/>
    </xf>
    <xf numFmtId="0" fontId="55" fillId="0" borderId="18" xfId="0" applyFont="1" applyBorder="1" applyAlignment="1">
      <alignment horizontal="center"/>
    </xf>
    <xf numFmtId="0" fontId="55" fillId="0" borderId="19" xfId="0" applyFont="1" applyBorder="1" applyAlignment="1">
      <alignment/>
    </xf>
    <xf numFmtId="0" fontId="0" fillId="0" borderId="20" xfId="0" applyBorder="1" applyAlignment="1">
      <alignment/>
    </xf>
    <xf numFmtId="0" fontId="13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center" vertical="center" wrapText="1"/>
    </xf>
    <xf numFmtId="166" fontId="14" fillId="0" borderId="12" xfId="63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horizontal="center" vertical="center" wrapText="1"/>
    </xf>
    <xf numFmtId="166" fontId="14" fillId="33" borderId="12" xfId="63" applyFont="1" applyFill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4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/>
    </xf>
    <xf numFmtId="0" fontId="0" fillId="0" borderId="12" xfId="0" applyFill="1" applyBorder="1" applyAlignment="1">
      <alignment/>
    </xf>
    <xf numFmtId="2" fontId="0" fillId="0" borderId="12" xfId="0" applyNumberFormat="1" applyFill="1" applyBorder="1" applyAlignment="1">
      <alignment/>
    </xf>
    <xf numFmtId="0" fontId="0" fillId="0" borderId="21" xfId="0" applyBorder="1" applyAlignment="1">
      <alignment/>
    </xf>
    <xf numFmtId="4" fontId="0" fillId="0" borderId="22" xfId="0" applyNumberFormat="1" applyBorder="1" applyAlignment="1">
      <alignment horizontal="center"/>
    </xf>
    <xf numFmtId="4" fontId="0" fillId="0" borderId="23" xfId="0" applyNumberFormat="1" applyBorder="1" applyAlignment="1">
      <alignment horizontal="left"/>
    </xf>
    <xf numFmtId="4" fontId="0" fillId="0" borderId="0" xfId="0" applyNumberFormat="1" applyAlignment="1">
      <alignment horizontal="left"/>
    </xf>
    <xf numFmtId="4" fontId="40" fillId="0" borderId="0" xfId="0" applyNumberFormat="1" applyFont="1" applyFill="1" applyBorder="1" applyAlignment="1">
      <alignment horizontal="center"/>
    </xf>
    <xf numFmtId="4" fontId="0" fillId="34" borderId="16" xfId="0" applyNumberFormat="1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25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5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3" fillId="0" borderId="17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0" fillId="33" borderId="26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 vertical="center"/>
    </xf>
    <xf numFmtId="4" fontId="0" fillId="33" borderId="12" xfId="0" applyNumberFormat="1" applyFont="1" applyFill="1" applyBorder="1" applyAlignment="1">
      <alignment horizontal="right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vertical="center" wrapText="1"/>
    </xf>
    <xf numFmtId="0" fontId="0" fillId="33" borderId="26" xfId="0" applyFont="1" applyFill="1" applyBorder="1" applyAlignment="1">
      <alignment vertical="center" wrapText="1"/>
    </xf>
    <xf numFmtId="4" fontId="0" fillId="0" borderId="26" xfId="0" applyNumberFormat="1" applyFont="1" applyFill="1" applyBorder="1" applyAlignment="1">
      <alignment horizontal="right" vertical="center"/>
    </xf>
    <xf numFmtId="4" fontId="0" fillId="33" borderId="26" xfId="0" applyNumberFormat="1" applyFont="1" applyFill="1" applyBorder="1" applyAlignment="1">
      <alignment horizontal="right" vertical="center"/>
    </xf>
    <xf numFmtId="0" fontId="0" fillId="33" borderId="27" xfId="0" applyFont="1" applyFill="1" applyBorder="1" applyAlignment="1">
      <alignment horizontal="center" vertical="center"/>
    </xf>
    <xf numFmtId="10" fontId="0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14" fillId="0" borderId="0" xfId="0" applyFont="1" applyFill="1" applyBorder="1" applyAlignment="1">
      <alignment wrapText="1"/>
    </xf>
    <xf numFmtId="0" fontId="55" fillId="36" borderId="28" xfId="0" applyFont="1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30" xfId="0" applyFill="1" applyBorder="1" applyAlignment="1">
      <alignment horizontal="left"/>
    </xf>
    <xf numFmtId="0" fontId="0" fillId="36" borderId="31" xfId="0" applyFill="1" applyBorder="1" applyAlignment="1">
      <alignment horizontal="left"/>
    </xf>
    <xf numFmtId="0" fontId="0" fillId="36" borderId="32" xfId="0" applyFill="1" applyBorder="1" applyAlignment="1">
      <alignment horizontal="left"/>
    </xf>
    <xf numFmtId="0" fontId="0" fillId="36" borderId="0" xfId="0" applyFill="1" applyAlignment="1">
      <alignment/>
    </xf>
    <xf numFmtId="10" fontId="0" fillId="36" borderId="0" xfId="0" applyNumberFormat="1" applyFill="1" applyAlignment="1">
      <alignment/>
    </xf>
    <xf numFmtId="0" fontId="6" fillId="35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4" fontId="0" fillId="36" borderId="26" xfId="0" applyNumberFormat="1" applyFont="1" applyFill="1" applyBorder="1" applyAlignment="1">
      <alignment horizontal="right" vertical="center"/>
    </xf>
    <xf numFmtId="168" fontId="17" fillId="0" borderId="0" xfId="48" applyFont="1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9" fontId="19" fillId="0" borderId="0" xfId="51" applyFont="1" applyAlignment="1">
      <alignment horizontal="center"/>
    </xf>
    <xf numFmtId="9" fontId="0" fillId="0" borderId="0" xfId="51" applyFont="1" applyAlignment="1">
      <alignment horizontal="center"/>
    </xf>
    <xf numFmtId="168" fontId="17" fillId="0" borderId="33" xfId="48" applyFont="1" applyBorder="1" applyAlignment="1">
      <alignment/>
    </xf>
    <xf numFmtId="168" fontId="20" fillId="0" borderId="34" xfId="48" applyFont="1" applyBorder="1" applyAlignment="1">
      <alignment/>
    </xf>
    <xf numFmtId="168" fontId="17" fillId="0" borderId="35" xfId="48" applyFont="1" applyBorder="1" applyAlignment="1">
      <alignment/>
    </xf>
    <xf numFmtId="0" fontId="19" fillId="0" borderId="35" xfId="0" applyFont="1" applyBorder="1" applyAlignment="1">
      <alignment/>
    </xf>
    <xf numFmtId="168" fontId="21" fillId="0" borderId="35" xfId="48" applyFont="1" applyBorder="1" applyAlignment="1">
      <alignment/>
    </xf>
    <xf numFmtId="9" fontId="19" fillId="0" borderId="35" xfId="51" applyFont="1" applyBorder="1" applyAlignment="1">
      <alignment horizontal="center"/>
    </xf>
    <xf numFmtId="0" fontId="0" fillId="0" borderId="35" xfId="0" applyFont="1" applyBorder="1" applyAlignment="1">
      <alignment/>
    </xf>
    <xf numFmtId="9" fontId="0" fillId="0" borderId="35" xfId="51" applyFont="1" applyBorder="1" applyAlignment="1">
      <alignment horizontal="center"/>
    </xf>
    <xf numFmtId="0" fontId="17" fillId="0" borderId="35" xfId="0" applyFont="1" applyBorder="1" applyAlignment="1">
      <alignment/>
    </xf>
    <xf numFmtId="0" fontId="0" fillId="0" borderId="36" xfId="0" applyFont="1" applyBorder="1" applyAlignment="1">
      <alignment/>
    </xf>
    <xf numFmtId="168" fontId="20" fillId="0" borderId="37" xfId="48" applyFont="1" applyBorder="1" applyAlignment="1">
      <alignment/>
    </xf>
    <xf numFmtId="168" fontId="22" fillId="0" borderId="33" xfId="48" applyFont="1" applyBorder="1" applyAlignment="1">
      <alignment/>
    </xf>
    <xf numFmtId="0" fontId="19" fillId="0" borderId="33" xfId="0" applyFont="1" applyBorder="1" applyAlignment="1">
      <alignment/>
    </xf>
    <xf numFmtId="168" fontId="21" fillId="0" borderId="33" xfId="48" applyFont="1" applyBorder="1" applyAlignment="1">
      <alignment/>
    </xf>
    <xf numFmtId="168" fontId="23" fillId="0" borderId="33" xfId="48" applyFont="1" applyBorder="1" applyAlignment="1">
      <alignment/>
    </xf>
    <xf numFmtId="9" fontId="19" fillId="0" borderId="33" xfId="51" applyFont="1" applyBorder="1" applyAlignment="1">
      <alignment horizontal="center"/>
    </xf>
    <xf numFmtId="0" fontId="0" fillId="0" borderId="33" xfId="0" applyFont="1" applyBorder="1" applyAlignment="1">
      <alignment/>
    </xf>
    <xf numFmtId="9" fontId="0" fillId="0" borderId="33" xfId="51" applyFont="1" applyBorder="1" applyAlignment="1">
      <alignment horizontal="center"/>
    </xf>
    <xf numFmtId="0" fontId="0" fillId="0" borderId="38" xfId="0" applyFont="1" applyBorder="1" applyAlignment="1">
      <alignment/>
    </xf>
    <xf numFmtId="0" fontId="23" fillId="0" borderId="26" xfId="0" applyFont="1" applyFill="1" applyBorder="1" applyAlignment="1">
      <alignment horizontal="center"/>
    </xf>
    <xf numFmtId="0" fontId="23" fillId="0" borderId="34" xfId="0" applyFont="1" applyFill="1" applyBorder="1" applyAlignment="1">
      <alignment horizontal="center"/>
    </xf>
    <xf numFmtId="169" fontId="23" fillId="0" borderId="39" xfId="0" applyNumberFormat="1" applyFont="1" applyFill="1" applyBorder="1" applyAlignment="1">
      <alignment horizontal="center"/>
    </xf>
    <xf numFmtId="0" fontId="23" fillId="0" borderId="40" xfId="0" applyFont="1" applyFill="1" applyBorder="1" applyAlignment="1">
      <alignment horizontal="center"/>
    </xf>
    <xf numFmtId="9" fontId="23" fillId="0" borderId="40" xfId="51" applyFont="1" applyFill="1" applyBorder="1" applyAlignment="1">
      <alignment horizontal="center"/>
    </xf>
    <xf numFmtId="9" fontId="23" fillId="0" borderId="41" xfId="51" applyFont="1" applyFill="1" applyBorder="1" applyAlignment="1">
      <alignment horizontal="center"/>
    </xf>
    <xf numFmtId="169" fontId="23" fillId="0" borderId="41" xfId="0" applyNumberFormat="1" applyFont="1" applyFill="1" applyBorder="1" applyAlignment="1">
      <alignment horizontal="center"/>
    </xf>
    <xf numFmtId="0" fontId="21" fillId="0" borderId="42" xfId="48" applyNumberFormat="1" applyFont="1" applyBorder="1" applyAlignment="1">
      <alignment horizontal="center"/>
    </xf>
    <xf numFmtId="168" fontId="21" fillId="0" borderId="43" xfId="48" applyFont="1" applyBorder="1" applyAlignment="1">
      <alignment/>
    </xf>
    <xf numFmtId="10" fontId="21" fillId="0" borderId="44" xfId="51" applyNumberFormat="1" applyFont="1" applyBorder="1" applyAlignment="1">
      <alignment horizontal="right"/>
    </xf>
    <xf numFmtId="166" fontId="21" fillId="0" borderId="42" xfId="63" applyFont="1" applyBorder="1" applyAlignment="1">
      <alignment horizontal="center"/>
    </xf>
    <xf numFmtId="9" fontId="21" fillId="0" borderId="44" xfId="51" applyFont="1" applyBorder="1" applyAlignment="1">
      <alignment horizontal="center"/>
    </xf>
    <xf numFmtId="166" fontId="2" fillId="0" borderId="45" xfId="0" applyNumberFormat="1" applyFont="1" applyBorder="1" applyAlignment="1">
      <alignment/>
    </xf>
    <xf numFmtId="10" fontId="2" fillId="0" borderId="46" xfId="0" applyNumberFormat="1" applyFont="1" applyBorder="1" applyAlignment="1">
      <alignment/>
    </xf>
    <xf numFmtId="0" fontId="23" fillId="37" borderId="12" xfId="0" applyFont="1" applyFill="1" applyBorder="1" applyAlignment="1">
      <alignment horizontal="center"/>
    </xf>
    <xf numFmtId="0" fontId="24" fillId="37" borderId="12" xfId="0" applyFont="1" applyFill="1" applyBorder="1" applyAlignment="1">
      <alignment horizontal="right"/>
    </xf>
    <xf numFmtId="168" fontId="17" fillId="37" borderId="12" xfId="48" applyFont="1" applyFill="1" applyBorder="1" applyAlignment="1">
      <alignment/>
    </xf>
    <xf numFmtId="9" fontId="17" fillId="37" borderId="12" xfId="51" applyFont="1" applyFill="1" applyBorder="1" applyAlignment="1">
      <alignment/>
    </xf>
    <xf numFmtId="166" fontId="21" fillId="37" borderId="12" xfId="63" applyFont="1" applyFill="1" applyBorder="1" applyAlignment="1">
      <alignment horizontal="center"/>
    </xf>
    <xf numFmtId="9" fontId="21" fillId="37" borderId="12" xfId="51" applyFont="1" applyFill="1" applyBorder="1" applyAlignment="1">
      <alignment horizontal="center"/>
    </xf>
    <xf numFmtId="166" fontId="3" fillId="37" borderId="12" xfId="0" applyNumberFormat="1" applyFont="1" applyFill="1" applyBorder="1" applyAlignment="1">
      <alignment/>
    </xf>
    <xf numFmtId="10" fontId="21" fillId="37" borderId="12" xfId="51" applyNumberFormat="1" applyFont="1" applyFill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2" xfId="0" applyFont="1" applyBorder="1" applyAlignment="1">
      <alignment horizontal="right"/>
    </xf>
    <xf numFmtId="166" fontId="21" fillId="0" borderId="12" xfId="63" applyFont="1" applyBorder="1" applyAlignment="1">
      <alignment horizontal="center"/>
    </xf>
    <xf numFmtId="170" fontId="21" fillId="0" borderId="12" xfId="51" applyNumberFormat="1" applyFont="1" applyBorder="1" applyAlignment="1">
      <alignment horizontal="center"/>
    </xf>
    <xf numFmtId="166" fontId="2" fillId="0" borderId="12" xfId="0" applyNumberFormat="1" applyFont="1" applyBorder="1" applyAlignment="1">
      <alignment/>
    </xf>
    <xf numFmtId="10" fontId="21" fillId="0" borderId="12" xfId="51" applyNumberFormat="1" applyFont="1" applyBorder="1" applyAlignment="1">
      <alignment horizontal="center"/>
    </xf>
    <xf numFmtId="168" fontId="23" fillId="0" borderId="12" xfId="48" applyFont="1" applyBorder="1" applyAlignment="1">
      <alignment/>
    </xf>
    <xf numFmtId="10" fontId="23" fillId="0" borderId="12" xfId="51" applyNumberFormat="1" applyFont="1" applyBorder="1" applyAlignment="1">
      <alignment horizontal="center"/>
    </xf>
    <xf numFmtId="166" fontId="21" fillId="0" borderId="12" xfId="63" applyFont="1" applyBorder="1" applyAlignment="1">
      <alignment/>
    </xf>
    <xf numFmtId="9" fontId="21" fillId="0" borderId="12" xfId="51" applyFont="1" applyBorder="1" applyAlignment="1">
      <alignment horizontal="center"/>
    </xf>
    <xf numFmtId="166" fontId="23" fillId="0" borderId="12" xfId="63" applyFont="1" applyBorder="1" applyAlignment="1">
      <alignment/>
    </xf>
    <xf numFmtId="9" fontId="21" fillId="0" borderId="12" xfId="51" applyFont="1" applyBorder="1" applyAlignment="1">
      <alignment/>
    </xf>
    <xf numFmtId="0" fontId="4" fillId="34" borderId="26" xfId="0" applyFont="1" applyFill="1" applyBorder="1" applyAlignment="1">
      <alignment vertical="justify"/>
    </xf>
    <xf numFmtId="0" fontId="4" fillId="34" borderId="26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4" fillId="34" borderId="47" xfId="0" applyFont="1" applyFill="1" applyBorder="1" applyAlignment="1">
      <alignment horizontal="right" vertical="justify"/>
    </xf>
    <xf numFmtId="0" fontId="4" fillId="34" borderId="22" xfId="0" applyFont="1" applyFill="1" applyBorder="1" applyAlignment="1">
      <alignment horizontal="right" vertical="justify"/>
    </xf>
    <xf numFmtId="0" fontId="4" fillId="34" borderId="48" xfId="0" applyFont="1" applyFill="1" applyBorder="1" applyAlignment="1">
      <alignment horizontal="right" vertical="justify"/>
    </xf>
    <xf numFmtId="0" fontId="5" fillId="35" borderId="49" xfId="0" applyFont="1" applyFill="1" applyBorder="1" applyAlignment="1">
      <alignment horizontal="center"/>
    </xf>
    <xf numFmtId="0" fontId="5" fillId="35" borderId="50" xfId="0" applyFont="1" applyFill="1" applyBorder="1" applyAlignment="1">
      <alignment horizontal="center"/>
    </xf>
    <xf numFmtId="0" fontId="5" fillId="35" borderId="51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right" vertical="justify"/>
    </xf>
    <xf numFmtId="0" fontId="4" fillId="34" borderId="20" xfId="0" applyFont="1" applyFill="1" applyBorder="1" applyAlignment="1">
      <alignment horizontal="right" vertical="justify"/>
    </xf>
    <xf numFmtId="0" fontId="4" fillId="34" borderId="52" xfId="0" applyFont="1" applyFill="1" applyBorder="1" applyAlignment="1">
      <alignment horizontal="right" vertical="justify"/>
    </xf>
    <xf numFmtId="0" fontId="3" fillId="0" borderId="0" xfId="0" applyFont="1" applyBorder="1" applyAlignment="1">
      <alignment horizontal="left"/>
    </xf>
    <xf numFmtId="0" fontId="57" fillId="13" borderId="53" xfId="0" applyFont="1" applyFill="1" applyBorder="1" applyAlignment="1">
      <alignment horizontal="center"/>
    </xf>
    <xf numFmtId="0" fontId="57" fillId="13" borderId="54" xfId="0" applyFont="1" applyFill="1" applyBorder="1" applyAlignment="1">
      <alignment horizontal="center"/>
    </xf>
    <xf numFmtId="0" fontId="57" fillId="13" borderId="55" xfId="0" applyFont="1" applyFill="1" applyBorder="1" applyAlignment="1">
      <alignment horizontal="center"/>
    </xf>
    <xf numFmtId="0" fontId="55" fillId="0" borderId="56" xfId="0" applyFont="1" applyFill="1" applyBorder="1" applyAlignment="1">
      <alignment horizontal="left" vertical="top"/>
    </xf>
    <xf numFmtId="0" fontId="55" fillId="0" borderId="57" xfId="0" applyFont="1" applyFill="1" applyBorder="1" applyAlignment="1">
      <alignment horizontal="left" vertical="top"/>
    </xf>
    <xf numFmtId="0" fontId="55" fillId="0" borderId="58" xfId="0" applyFont="1" applyFill="1" applyBorder="1" applyAlignment="1">
      <alignment horizontal="left" vertical="top"/>
    </xf>
    <xf numFmtId="0" fontId="58" fillId="0" borderId="17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167" fontId="15" fillId="0" borderId="49" xfId="0" applyNumberFormat="1" applyFont="1" applyBorder="1" applyAlignment="1">
      <alignment horizontal="center"/>
    </xf>
    <xf numFmtId="167" fontId="15" fillId="0" borderId="50" xfId="0" applyNumberFormat="1" applyFont="1" applyBorder="1" applyAlignment="1">
      <alignment horizontal="center"/>
    </xf>
    <xf numFmtId="167" fontId="15" fillId="0" borderId="51" xfId="0" applyNumberFormat="1" applyFont="1" applyBorder="1" applyAlignment="1">
      <alignment horizontal="center"/>
    </xf>
    <xf numFmtId="0" fontId="0" fillId="0" borderId="5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55" fillId="0" borderId="25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28" xfId="0" applyFont="1" applyBorder="1" applyAlignment="1">
      <alignment horizontal="center"/>
    </xf>
    <xf numFmtId="0" fontId="17" fillId="37" borderId="34" xfId="0" applyFont="1" applyFill="1" applyBorder="1" applyAlignment="1">
      <alignment horizontal="center"/>
    </xf>
    <xf numFmtId="0" fontId="17" fillId="37" borderId="35" xfId="0" applyFont="1" applyFill="1" applyBorder="1" applyAlignment="1">
      <alignment horizontal="center"/>
    </xf>
    <xf numFmtId="0" fontId="17" fillId="37" borderId="36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center"/>
    </xf>
    <xf numFmtId="0" fontId="23" fillId="0" borderId="5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Incorreto" xfId="45"/>
    <cellStyle name="Currency" xfId="46"/>
    <cellStyle name="Currency [0]" xfId="47"/>
    <cellStyle name="Moeda_Orça.timbó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  <cellStyle name="Vírgula 3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RBANISMO\NEI\NEI%20SONHO%20DE%20CRIAN&#199;A\2018\Or&#231;amento%20Reforma%20CSU%203%20atualizado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CA"/>
      <sheetName val="CFF válido"/>
      <sheetName val="CFF (2)"/>
    </sheetNames>
    <sheetDataSet>
      <sheetData sheetId="0">
        <row r="1">
          <cell r="A1" t="str">
            <v>PREFEITURA MUNICIPAL DE TIMBÓ</v>
          </cell>
        </row>
        <row r="2">
          <cell r="A2" t="str">
            <v>SECRETARIA DE PLANEJAMENTO, TRÂNSITO, MEIO AMBIENTE, INDÚSTRIA, COMÉRCIO E SERVIÇOS</v>
          </cell>
        </row>
        <row r="5">
          <cell r="A5" t="str">
            <v>PROJETO 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showGridLines="0" tabSelected="1" view="pageBreakPreview" zoomScaleSheetLayoutView="100" zoomScalePageLayoutView="0" workbookViewId="0" topLeftCell="A1">
      <selection activeCell="J19" sqref="J19"/>
    </sheetView>
  </sheetViews>
  <sheetFormatPr defaultColWidth="9.140625" defaultRowHeight="12.75"/>
  <cols>
    <col min="2" max="2" width="73.8515625" style="5" customWidth="1"/>
    <col min="4" max="4" width="10.8515625" style="3" customWidth="1"/>
    <col min="5" max="5" width="11.8515625" style="3" bestFit="1" customWidth="1"/>
    <col min="6" max="6" width="12.7109375" style="3" bestFit="1" customWidth="1"/>
    <col min="7" max="7" width="22.7109375" style="3" bestFit="1" customWidth="1"/>
    <col min="8" max="8" width="8.140625" style="13" customWidth="1"/>
    <col min="9" max="9" width="11.28125" style="13" customWidth="1"/>
    <col min="10" max="10" width="10.140625" style="0" bestFit="1" customWidth="1"/>
    <col min="12" max="12" width="11.28125" style="0" bestFit="1" customWidth="1"/>
  </cols>
  <sheetData>
    <row r="1" spans="1:11" ht="15.75">
      <c r="A1" s="165" t="s">
        <v>86</v>
      </c>
      <c r="B1" s="165"/>
      <c r="C1" s="165"/>
      <c r="D1" s="165"/>
      <c r="E1" s="165"/>
      <c r="F1" s="165"/>
      <c r="G1" s="165"/>
      <c r="H1" s="165"/>
      <c r="I1" s="165"/>
      <c r="J1" s="11" t="s">
        <v>13</v>
      </c>
      <c r="K1" s="10">
        <v>0.22</v>
      </c>
    </row>
    <row r="2" spans="1:7" ht="12.75" hidden="1">
      <c r="A2" s="7"/>
      <c r="B2" s="8"/>
      <c r="C2" s="7"/>
      <c r="D2" s="9"/>
      <c r="E2" s="9"/>
      <c r="F2" s="9"/>
      <c r="G2" s="9"/>
    </row>
    <row r="3" spans="1:7" ht="16.5" customHeight="1" hidden="1">
      <c r="A3" s="7"/>
      <c r="B3" s="35"/>
      <c r="C3" s="7"/>
      <c r="D3" s="9"/>
      <c r="E3" s="9"/>
      <c r="F3" s="11" t="s">
        <v>13</v>
      </c>
      <c r="G3" s="10">
        <v>0.22</v>
      </c>
    </row>
    <row r="4" spans="1:9" ht="12.75" customHeight="1" hidden="1">
      <c r="A4" s="65" t="s">
        <v>3</v>
      </c>
      <c r="B4" s="8" t="s">
        <v>148</v>
      </c>
      <c r="C4" s="7"/>
      <c r="D4" s="9"/>
      <c r="E4" s="9"/>
      <c r="F4" s="9"/>
      <c r="G4" s="9"/>
      <c r="I4" s="64"/>
    </row>
    <row r="5" spans="1:9" ht="12.75" customHeight="1" hidden="1">
      <c r="A5" s="65" t="s">
        <v>29</v>
      </c>
      <c r="B5" s="35" t="s">
        <v>76</v>
      </c>
      <c r="C5" s="9" t="s">
        <v>147</v>
      </c>
      <c r="D5" s="9"/>
      <c r="E5" s="11" t="s">
        <v>13</v>
      </c>
      <c r="F5" s="10">
        <v>0.22</v>
      </c>
      <c r="G5" s="9" t="s">
        <v>146</v>
      </c>
      <c r="I5" s="64"/>
    </row>
    <row r="6" spans="1:11" s="71" customFormat="1" ht="13.5" hidden="1" thickBot="1">
      <c r="A6" s="72"/>
      <c r="B6" s="68"/>
      <c r="C6" s="67"/>
      <c r="D6" s="69"/>
      <c r="E6" s="69"/>
      <c r="F6" s="69"/>
      <c r="G6" s="69"/>
      <c r="H6" s="70"/>
      <c r="I6" s="73"/>
      <c r="K6" s="71" t="s">
        <v>149</v>
      </c>
    </row>
    <row r="7" spans="1:11" s="23" customFormat="1" ht="18" customHeight="1" hidden="1">
      <c r="A7" s="26" t="s">
        <v>0</v>
      </c>
      <c r="B7" s="27" t="s">
        <v>1</v>
      </c>
      <c r="C7" s="27" t="s">
        <v>5</v>
      </c>
      <c r="D7" s="28" t="s">
        <v>2</v>
      </c>
      <c r="E7" s="28" t="s">
        <v>14</v>
      </c>
      <c r="F7" s="28" t="s">
        <v>10</v>
      </c>
      <c r="G7" s="28" t="s">
        <v>11</v>
      </c>
      <c r="H7" s="28" t="s">
        <v>16</v>
      </c>
      <c r="I7" s="62" t="s">
        <v>15</v>
      </c>
      <c r="J7" s="23">
        <f>4991.23-K7</f>
        <v>4882.99</v>
      </c>
      <c r="K7" s="23">
        <v>108.24</v>
      </c>
    </row>
    <row r="8" spans="1:9" s="12" customFormat="1" ht="12.75" hidden="1">
      <c r="A8" s="100">
        <v>3</v>
      </c>
      <c r="B8" s="29" t="s">
        <v>141</v>
      </c>
      <c r="C8" s="30"/>
      <c r="D8" s="31"/>
      <c r="E8" s="31"/>
      <c r="F8" s="31"/>
      <c r="G8" s="31"/>
      <c r="H8" s="32"/>
      <c r="I8" s="63"/>
    </row>
    <row r="9" spans="1:10" ht="56.25" customHeight="1" hidden="1">
      <c r="A9" s="101" t="s">
        <v>7</v>
      </c>
      <c r="B9" s="85" t="s">
        <v>87</v>
      </c>
      <c r="C9" s="24" t="s">
        <v>4</v>
      </c>
      <c r="D9" s="82">
        <f>J7*0.6</f>
        <v>2929.794</v>
      </c>
      <c r="E9" s="83">
        <v>4.84</v>
      </c>
      <c r="F9" s="83">
        <f>ROUND(E9*(1+$G$3),2)</f>
        <v>5.9</v>
      </c>
      <c r="G9" s="83">
        <f>ROUND(D9*F9,2)</f>
        <v>17285.78</v>
      </c>
      <c r="H9" s="24" t="s">
        <v>17</v>
      </c>
      <c r="I9" s="24">
        <v>90091</v>
      </c>
      <c r="J9" s="25"/>
    </row>
    <row r="10" spans="1:10" ht="25.5" hidden="1">
      <c r="A10" s="101" t="s">
        <v>8</v>
      </c>
      <c r="B10" s="85" t="s">
        <v>88</v>
      </c>
      <c r="C10" s="24" t="s">
        <v>30</v>
      </c>
      <c r="D10" s="82">
        <f>(D9*10)+(26*(D11+D12))</f>
        <v>105472.584</v>
      </c>
      <c r="E10" s="83">
        <v>0.79</v>
      </c>
      <c r="F10" s="83">
        <f>ROUND(E10*(1+$G$3),2)</f>
        <v>0.96</v>
      </c>
      <c r="G10" s="83">
        <f>ROUND(D10*F10,2)</f>
        <v>101253.68</v>
      </c>
      <c r="H10" s="24" t="s">
        <v>27</v>
      </c>
      <c r="I10" s="84">
        <v>5914389</v>
      </c>
      <c r="J10" s="25"/>
    </row>
    <row r="11" spans="1:10" ht="27" customHeight="1" hidden="1">
      <c r="A11" s="101" t="s">
        <v>12</v>
      </c>
      <c r="B11" s="85" t="s">
        <v>89</v>
      </c>
      <c r="C11" s="24" t="s">
        <v>4</v>
      </c>
      <c r="D11" s="82">
        <f>J7*0.4</f>
        <v>1953.196</v>
      </c>
      <c r="E11" s="83">
        <v>90.57</v>
      </c>
      <c r="F11" s="83">
        <f>ROUND(E11*(1+$G$3),2)</f>
        <v>110.5</v>
      </c>
      <c r="G11" s="83">
        <f>ROUND(D11*F11,2)</f>
        <v>215828.16</v>
      </c>
      <c r="H11" s="24" t="s">
        <v>17</v>
      </c>
      <c r="I11" s="84">
        <v>96399</v>
      </c>
      <c r="J11" s="25"/>
    </row>
    <row r="12" spans="1:10" ht="25.5" customHeight="1" hidden="1">
      <c r="A12" s="101" t="s">
        <v>9</v>
      </c>
      <c r="B12" s="85" t="s">
        <v>90</v>
      </c>
      <c r="C12" s="24" t="s">
        <v>4</v>
      </c>
      <c r="D12" s="82">
        <f>0.2*J7</f>
        <v>976.598</v>
      </c>
      <c r="E12" s="83">
        <v>110.14</v>
      </c>
      <c r="F12" s="83">
        <f>ROUND(E12*(1+$G$3),2)</f>
        <v>134.37</v>
      </c>
      <c r="G12" s="83">
        <f>ROUND(D12*F12,2)</f>
        <v>131225.47</v>
      </c>
      <c r="H12" s="24" t="s">
        <v>17</v>
      </c>
      <c r="I12" s="84">
        <v>96396</v>
      </c>
      <c r="J12" s="25"/>
    </row>
    <row r="13" spans="1:9" s="6" customFormat="1" ht="13.5" hidden="1" thickBot="1">
      <c r="A13" s="15"/>
      <c r="B13" s="163" t="s">
        <v>6</v>
      </c>
      <c r="C13" s="164"/>
      <c r="D13" s="16"/>
      <c r="E13" s="16"/>
      <c r="F13" s="16"/>
      <c r="G13" s="17">
        <f>SUM(G9:G12)</f>
        <v>465593.08999999997</v>
      </c>
      <c r="H13" s="33"/>
      <c r="I13" s="34"/>
    </row>
    <row r="14" spans="1:9" ht="22.5" customHeight="1">
      <c r="A14" s="65" t="s">
        <v>3</v>
      </c>
      <c r="B14" s="175" t="s">
        <v>163</v>
      </c>
      <c r="C14" s="175"/>
      <c r="D14" s="9"/>
      <c r="E14" s="9"/>
      <c r="F14" s="9"/>
      <c r="G14" s="9"/>
      <c r="I14" s="64"/>
    </row>
    <row r="15" spans="1:13" ht="12.75">
      <c r="A15" s="65" t="s">
        <v>29</v>
      </c>
      <c r="B15" s="102" t="s">
        <v>164</v>
      </c>
      <c r="C15" s="9" t="s">
        <v>154</v>
      </c>
      <c r="E15" s="11" t="s">
        <v>145</v>
      </c>
      <c r="F15" s="10">
        <v>0.22</v>
      </c>
      <c r="G15" s="9"/>
      <c r="I15" s="64"/>
      <c r="M15" s="23"/>
    </row>
    <row r="16" spans="1:12" s="71" customFormat="1" ht="13.5" thickBot="1">
      <c r="A16" s="72"/>
      <c r="B16" s="68"/>
      <c r="C16" s="67"/>
      <c r="D16" s="69"/>
      <c r="E16" s="69"/>
      <c r="F16" s="69"/>
      <c r="G16" s="69"/>
      <c r="H16" s="70"/>
      <c r="I16" s="73"/>
      <c r="K16" s="71" t="s">
        <v>150</v>
      </c>
      <c r="L16" s="71" t="s">
        <v>151</v>
      </c>
    </row>
    <row r="17" spans="1:13" s="23" customFormat="1" ht="18" customHeight="1">
      <c r="A17" s="26" t="s">
        <v>0</v>
      </c>
      <c r="B17" s="27" t="s">
        <v>1</v>
      </c>
      <c r="C17" s="27" t="s">
        <v>5</v>
      </c>
      <c r="D17" s="28" t="s">
        <v>2</v>
      </c>
      <c r="E17" s="28" t="s">
        <v>14</v>
      </c>
      <c r="F17" s="28" t="s">
        <v>10</v>
      </c>
      <c r="G17" s="28" t="s">
        <v>11</v>
      </c>
      <c r="H17" s="28" t="s">
        <v>16</v>
      </c>
      <c r="I17" s="62" t="s">
        <v>15</v>
      </c>
      <c r="J17" s="23">
        <f>L17</f>
        <v>1967.38</v>
      </c>
      <c r="K17" s="23">
        <v>400.56</v>
      </c>
      <c r="L17" s="23">
        <f>136.15+80+118.05+618.25+54.15+54.53+906.25</f>
        <v>1967.38</v>
      </c>
      <c r="M17" s="23">
        <f>250.2+25+15+59.96+254.85+383.45+55.08+160.29+25+460+1234.16+214.55+159.54+135+1093.8</f>
        <v>4525.88</v>
      </c>
    </row>
    <row r="18" spans="1:9" s="12" customFormat="1" ht="12.75">
      <c r="A18" s="100">
        <v>4</v>
      </c>
      <c r="B18" s="29" t="s">
        <v>141</v>
      </c>
      <c r="C18" s="30"/>
      <c r="D18" s="31"/>
      <c r="E18" s="31"/>
      <c r="F18" s="31"/>
      <c r="G18" s="31"/>
      <c r="H18" s="32"/>
      <c r="I18" s="63"/>
    </row>
    <row r="19" spans="1:10" ht="56.25" customHeight="1">
      <c r="A19" s="101" t="s">
        <v>71</v>
      </c>
      <c r="B19" s="85" t="s">
        <v>87</v>
      </c>
      <c r="C19" s="24" t="s">
        <v>4</v>
      </c>
      <c r="D19" s="82">
        <f>0.6*J17</f>
        <v>1180.428</v>
      </c>
      <c r="E19" s="83">
        <v>4.89</v>
      </c>
      <c r="F19" s="83">
        <f>ROUND(E19*(1+$G$3),2)</f>
        <v>5.97</v>
      </c>
      <c r="G19" s="83">
        <f>ROUND(D19*F19,2)</f>
        <v>7047.16</v>
      </c>
      <c r="H19" s="24" t="s">
        <v>17</v>
      </c>
      <c r="I19" s="24">
        <v>90091</v>
      </c>
      <c r="J19" s="25"/>
    </row>
    <row r="20" spans="1:10" ht="25.5">
      <c r="A20" s="101" t="s">
        <v>72</v>
      </c>
      <c r="B20" s="85" t="s">
        <v>88</v>
      </c>
      <c r="C20" s="24" t="s">
        <v>30</v>
      </c>
      <c r="D20" s="82">
        <f>(D19*10)+(26*(D21+D22))</f>
        <v>42495.408</v>
      </c>
      <c r="E20" s="83">
        <v>0.45</v>
      </c>
      <c r="F20" s="83">
        <f>ROUND(E20*(1+$G$3),2)</f>
        <v>0.55</v>
      </c>
      <c r="G20" s="83">
        <f>ROUND(D20*F20,2)</f>
        <v>23372.47</v>
      </c>
      <c r="H20" s="24" t="s">
        <v>27</v>
      </c>
      <c r="I20" s="84">
        <v>5914389</v>
      </c>
      <c r="J20" s="25"/>
    </row>
    <row r="21" spans="1:10" ht="27" customHeight="1">
      <c r="A21" s="101" t="s">
        <v>73</v>
      </c>
      <c r="B21" s="85" t="s">
        <v>89</v>
      </c>
      <c r="C21" s="24" t="s">
        <v>4</v>
      </c>
      <c r="D21" s="82">
        <f>0.4*J17</f>
        <v>786.9520000000001</v>
      </c>
      <c r="E21" s="83">
        <v>89.19</v>
      </c>
      <c r="F21" s="83">
        <f>ROUND(E21*(1+$G$3),2)</f>
        <v>108.81</v>
      </c>
      <c r="G21" s="83">
        <f>ROUND(D21*F21,2)</f>
        <v>85628.25</v>
      </c>
      <c r="H21" s="24" t="s">
        <v>17</v>
      </c>
      <c r="I21" s="84">
        <v>96399</v>
      </c>
      <c r="J21" s="25"/>
    </row>
    <row r="22" spans="1:10" ht="25.5" customHeight="1">
      <c r="A22" s="101" t="s">
        <v>74</v>
      </c>
      <c r="B22" s="85" t="s">
        <v>90</v>
      </c>
      <c r="C22" s="24" t="s">
        <v>4</v>
      </c>
      <c r="D22" s="82">
        <f>0.2*J17</f>
        <v>393.47600000000006</v>
      </c>
      <c r="E22" s="83">
        <v>108.35</v>
      </c>
      <c r="F22" s="83">
        <f>ROUND(E22*(1+$G$3),2)</f>
        <v>132.19</v>
      </c>
      <c r="G22" s="83">
        <f>ROUND(D22*F22,2)</f>
        <v>52013.59</v>
      </c>
      <c r="H22" s="24" t="s">
        <v>17</v>
      </c>
      <c r="I22" s="84">
        <v>96396</v>
      </c>
      <c r="J22" s="25">
        <f>SUM(G19:G22)</f>
        <v>168061.47</v>
      </c>
    </row>
    <row r="23" spans="1:9" s="6" customFormat="1" ht="13.5" thickBot="1">
      <c r="A23" s="172" t="s">
        <v>155</v>
      </c>
      <c r="B23" s="173"/>
      <c r="C23" s="173"/>
      <c r="D23" s="173"/>
      <c r="E23" s="173"/>
      <c r="F23" s="174"/>
      <c r="G23" s="17">
        <f>SUM(G19:G22)</f>
        <v>168061.47</v>
      </c>
      <c r="H23" s="33"/>
      <c r="I23" s="34"/>
    </row>
    <row r="24" spans="1:9" s="12" customFormat="1" ht="12.75">
      <c r="A24" s="100" t="s">
        <v>123</v>
      </c>
      <c r="B24" s="29" t="s">
        <v>142</v>
      </c>
      <c r="C24" s="169"/>
      <c r="D24" s="170"/>
      <c r="E24" s="170"/>
      <c r="F24" s="170"/>
      <c r="G24" s="170"/>
      <c r="H24" s="170"/>
      <c r="I24" s="171"/>
    </row>
    <row r="25" spans="1:12" ht="56.25" customHeight="1">
      <c r="A25" s="101" t="s">
        <v>124</v>
      </c>
      <c r="B25" s="85" t="s">
        <v>87</v>
      </c>
      <c r="C25" s="24" t="s">
        <v>4</v>
      </c>
      <c r="D25" s="82">
        <f>(D28*0.8*1)+(D30*1*1.1)+(D32*1.2*1.4)+(D34*1.4*1.6)+(D36*1.6*1.8)</f>
        <v>2309.96</v>
      </c>
      <c r="E25" s="83">
        <v>4.89</v>
      </c>
      <c r="F25" s="83">
        <f>ROUND(E25*(1+$G$3),2)</f>
        <v>5.97</v>
      </c>
      <c r="G25" s="83">
        <f>ROUND(D25*F25,2)</f>
        <v>13790.46</v>
      </c>
      <c r="H25" s="24" t="s">
        <v>17</v>
      </c>
      <c r="I25" s="24">
        <v>90091</v>
      </c>
      <c r="J25" s="25"/>
      <c r="L25" s="82">
        <f>(L28*0.8*1)+(L30*1*1.1)+(L32*1.2*1.4)+(L34*1.4*1.6)+(L36*1.6*1.8)</f>
        <v>1813.2432</v>
      </c>
    </row>
    <row r="26" spans="1:12" ht="25.5" customHeight="1">
      <c r="A26" s="101" t="s">
        <v>125</v>
      </c>
      <c r="B26" s="86" t="s">
        <v>92</v>
      </c>
      <c r="C26" s="80" t="s">
        <v>4</v>
      </c>
      <c r="D26" s="87">
        <f>0.1*((D28*0.8)+(D30*1)+(D32*1.2)+(D34*1.4)+(D36*1.6))</f>
        <v>155.44</v>
      </c>
      <c r="E26" s="88">
        <v>59.52</v>
      </c>
      <c r="F26" s="83">
        <f aca="true" t="shared" si="0" ref="F26:F42">ROUND(E26*(1+$G$3),2)</f>
        <v>72.61</v>
      </c>
      <c r="G26" s="83">
        <f aca="true" t="shared" si="1" ref="G26:G42">ROUND(D26*F26,2)</f>
        <v>11286.5</v>
      </c>
      <c r="H26" s="80" t="s">
        <v>27</v>
      </c>
      <c r="I26" s="89">
        <v>903845</v>
      </c>
      <c r="J26" s="81"/>
      <c r="L26" s="87">
        <f>0.1*((L28*0.8)+(L30*1)+(L32*1.2)+(L34*1.4)+(L36*1.6))</f>
        <v>113.21880000000002</v>
      </c>
    </row>
    <row r="27" spans="1:12" ht="25.5" customHeight="1">
      <c r="A27" s="101" t="s">
        <v>126</v>
      </c>
      <c r="B27" s="86" t="s">
        <v>93</v>
      </c>
      <c r="C27" s="80" t="s">
        <v>85</v>
      </c>
      <c r="D27" s="87">
        <f>(D28+D30+D32+D34+D36)*2</f>
        <v>2494</v>
      </c>
      <c r="E27" s="88">
        <v>1.57</v>
      </c>
      <c r="F27" s="83">
        <f t="shared" si="0"/>
        <v>1.92</v>
      </c>
      <c r="G27" s="83">
        <f t="shared" si="1"/>
        <v>4788.48</v>
      </c>
      <c r="H27" s="80"/>
      <c r="I27" s="89"/>
      <c r="J27" s="81"/>
      <c r="L27" s="87">
        <f>(L28+L30+L32+L34+L36)*2</f>
        <v>1703.32</v>
      </c>
    </row>
    <row r="28" spans="1:12" ht="41.25" customHeight="1">
      <c r="A28" s="101" t="s">
        <v>127</v>
      </c>
      <c r="B28" s="86" t="s">
        <v>94</v>
      </c>
      <c r="C28" s="80" t="s">
        <v>85</v>
      </c>
      <c r="D28" s="87">
        <f>10+10+11+11+10+11+10+10+10+11+18+10+10+10+10</f>
        <v>162</v>
      </c>
      <c r="E28" s="88">
        <v>38.29</v>
      </c>
      <c r="F28" s="83">
        <f t="shared" si="0"/>
        <v>46.71</v>
      </c>
      <c r="G28" s="83">
        <f t="shared" si="1"/>
        <v>7567.02</v>
      </c>
      <c r="H28" s="80"/>
      <c r="I28" s="89">
        <v>92809</v>
      </c>
      <c r="J28" s="81"/>
      <c r="L28" s="103">
        <f>(11*15)+21</f>
        <v>186</v>
      </c>
    </row>
    <row r="29" spans="1:12" ht="41.25" customHeight="1">
      <c r="A29" s="101" t="s">
        <v>128</v>
      </c>
      <c r="B29" s="86" t="s">
        <v>99</v>
      </c>
      <c r="C29" s="80" t="s">
        <v>100</v>
      </c>
      <c r="D29" s="87">
        <f>D28</f>
        <v>162</v>
      </c>
      <c r="E29" s="88">
        <v>53.95</v>
      </c>
      <c r="F29" s="83">
        <f t="shared" si="0"/>
        <v>65.82</v>
      </c>
      <c r="G29" s="83">
        <f t="shared" si="1"/>
        <v>10662.84</v>
      </c>
      <c r="H29" s="80"/>
      <c r="I29" s="89">
        <v>7745</v>
      </c>
      <c r="J29" s="81"/>
      <c r="L29" s="87">
        <f>L28</f>
        <v>186</v>
      </c>
    </row>
    <row r="30" spans="1:12" ht="39" customHeight="1">
      <c r="A30" s="101" t="s">
        <v>129</v>
      </c>
      <c r="B30" s="86" t="s">
        <v>95</v>
      </c>
      <c r="C30" s="80" t="s">
        <v>85</v>
      </c>
      <c r="D30" s="87">
        <f>34+29+28+31+28+6+29+29+10+22</f>
        <v>246</v>
      </c>
      <c r="E30" s="88">
        <v>55.41</v>
      </c>
      <c r="F30" s="83">
        <f t="shared" si="0"/>
        <v>67.6</v>
      </c>
      <c r="G30" s="83">
        <f t="shared" si="1"/>
        <v>16629.6</v>
      </c>
      <c r="H30" s="80"/>
      <c r="I30" s="89">
        <v>92811</v>
      </c>
      <c r="J30" s="81"/>
      <c r="L30" s="103">
        <f>16+34</f>
        <v>50</v>
      </c>
    </row>
    <row r="31" spans="1:12" ht="41.25" customHeight="1">
      <c r="A31" s="101" t="s">
        <v>130</v>
      </c>
      <c r="B31" s="86" t="s">
        <v>101</v>
      </c>
      <c r="C31" s="80" t="s">
        <v>100</v>
      </c>
      <c r="D31" s="87">
        <f>D30</f>
        <v>246</v>
      </c>
      <c r="E31" s="88">
        <v>94.25</v>
      </c>
      <c r="F31" s="83">
        <f t="shared" si="0"/>
        <v>114.99</v>
      </c>
      <c r="G31" s="83">
        <f t="shared" si="1"/>
        <v>28287.54</v>
      </c>
      <c r="H31" s="80"/>
      <c r="I31" s="89">
        <v>7725</v>
      </c>
      <c r="J31" s="81"/>
      <c r="L31" s="87">
        <f>L30</f>
        <v>50</v>
      </c>
    </row>
    <row r="32" spans="1:12" ht="41.25" customHeight="1">
      <c r="A32" s="101" t="s">
        <v>131</v>
      </c>
      <c r="B32" s="86" t="s">
        <v>96</v>
      </c>
      <c r="C32" s="80" t="s">
        <v>85</v>
      </c>
      <c r="D32" s="87">
        <f>25+28+35+20+29+23+14+19+8+11</f>
        <v>212</v>
      </c>
      <c r="E32" s="88">
        <v>74.22</v>
      </c>
      <c r="F32" s="83">
        <f t="shared" si="0"/>
        <v>90.55</v>
      </c>
      <c r="G32" s="83">
        <f t="shared" si="1"/>
        <v>19196.6</v>
      </c>
      <c r="H32" s="80"/>
      <c r="I32" s="89">
        <v>92813</v>
      </c>
      <c r="J32" s="81"/>
      <c r="L32" s="103">
        <v>21</v>
      </c>
    </row>
    <row r="33" spans="1:12" ht="41.25" customHeight="1">
      <c r="A33" s="101" t="s">
        <v>132</v>
      </c>
      <c r="B33" s="86" t="s">
        <v>102</v>
      </c>
      <c r="C33" s="80" t="s">
        <v>100</v>
      </c>
      <c r="D33" s="87">
        <f>D32</f>
        <v>212</v>
      </c>
      <c r="E33" s="88">
        <v>150.02</v>
      </c>
      <c r="F33" s="83">
        <f t="shared" si="0"/>
        <v>183.02</v>
      </c>
      <c r="G33" s="83">
        <f t="shared" si="1"/>
        <v>38800.24</v>
      </c>
      <c r="H33" s="80"/>
      <c r="I33" s="89">
        <v>7750</v>
      </c>
      <c r="J33" s="81"/>
      <c r="L33" s="87">
        <f>L32</f>
        <v>21</v>
      </c>
    </row>
    <row r="34" spans="1:12" ht="43.5" customHeight="1">
      <c r="A34" s="101" t="s">
        <v>133</v>
      </c>
      <c r="B34" s="86" t="s">
        <v>97</v>
      </c>
      <c r="C34" s="80" t="s">
        <v>85</v>
      </c>
      <c r="D34" s="87">
        <f>29+28+28+29+28+28+40+28+35+33+33+33+22</f>
        <v>394</v>
      </c>
      <c r="E34" s="88">
        <v>96.72</v>
      </c>
      <c r="F34" s="83">
        <f t="shared" si="0"/>
        <v>118</v>
      </c>
      <c r="G34" s="83">
        <f t="shared" si="1"/>
        <v>46492</v>
      </c>
      <c r="H34" s="80"/>
      <c r="I34" s="89">
        <v>92815</v>
      </c>
      <c r="J34" s="81"/>
      <c r="L34" s="103">
        <f>36.15+30+30.1+30.1+30.1+30+29.89</f>
        <v>216.33999999999997</v>
      </c>
    </row>
    <row r="35" spans="1:12" ht="41.25" customHeight="1">
      <c r="A35" s="101" t="s">
        <v>134</v>
      </c>
      <c r="B35" s="86" t="s">
        <v>103</v>
      </c>
      <c r="C35" s="80" t="s">
        <v>100</v>
      </c>
      <c r="D35" s="87">
        <f>D34</f>
        <v>394</v>
      </c>
      <c r="E35" s="88">
        <v>227.41</v>
      </c>
      <c r="F35" s="83">
        <f t="shared" si="0"/>
        <v>277.44</v>
      </c>
      <c r="G35" s="83">
        <f t="shared" si="1"/>
        <v>109311.36</v>
      </c>
      <c r="H35" s="80"/>
      <c r="I35" s="89">
        <v>7765</v>
      </c>
      <c r="J35" s="81"/>
      <c r="L35" s="87">
        <f>L34</f>
        <v>216.33999999999997</v>
      </c>
    </row>
    <row r="36" spans="1:12" ht="45" customHeight="1">
      <c r="A36" s="101" t="s">
        <v>135</v>
      </c>
      <c r="B36" s="86" t="s">
        <v>98</v>
      </c>
      <c r="C36" s="80" t="s">
        <v>85</v>
      </c>
      <c r="D36" s="87">
        <f>32+33+29+29+31+70+9</f>
        <v>233</v>
      </c>
      <c r="E36" s="88">
        <v>121.04</v>
      </c>
      <c r="F36" s="83">
        <f t="shared" si="0"/>
        <v>147.67</v>
      </c>
      <c r="G36" s="83">
        <f t="shared" si="1"/>
        <v>34407.11</v>
      </c>
      <c r="H36" s="80"/>
      <c r="I36" s="89">
        <v>92817</v>
      </c>
      <c r="J36" s="81"/>
      <c r="L36" s="87">
        <f>41.26+30.22+35.93+34.09+35.35+26.56+30+35.11+30.79+30.47+33.54+15</f>
        <v>378.32</v>
      </c>
    </row>
    <row r="37" spans="1:12" ht="41.25" customHeight="1">
      <c r="A37" s="101" t="s">
        <v>136</v>
      </c>
      <c r="B37" s="86" t="s">
        <v>104</v>
      </c>
      <c r="C37" s="80" t="s">
        <v>100</v>
      </c>
      <c r="D37" s="87">
        <f>D36</f>
        <v>233</v>
      </c>
      <c r="E37" s="88">
        <v>330.73</v>
      </c>
      <c r="F37" s="83">
        <f t="shared" si="0"/>
        <v>403.49</v>
      </c>
      <c r="G37" s="83">
        <f t="shared" si="1"/>
        <v>94013.17</v>
      </c>
      <c r="H37" s="80"/>
      <c r="I37" s="89">
        <v>7766</v>
      </c>
      <c r="J37" s="81"/>
      <c r="L37" s="87">
        <f>L36</f>
        <v>378.32</v>
      </c>
    </row>
    <row r="38" spans="1:12" ht="41.25" customHeight="1">
      <c r="A38" s="101" t="s">
        <v>137</v>
      </c>
      <c r="B38" s="86" t="s">
        <v>153</v>
      </c>
      <c r="C38" s="80" t="s">
        <v>91</v>
      </c>
      <c r="D38" s="87">
        <v>1</v>
      </c>
      <c r="E38" s="88">
        <v>1980.84</v>
      </c>
      <c r="F38" s="83">
        <f>ROUND(E38*(1+$G$3),2)</f>
        <v>2416.62</v>
      </c>
      <c r="G38" s="83">
        <f>ROUND(D38*F38,2)</f>
        <v>2416.62</v>
      </c>
      <c r="H38" s="80"/>
      <c r="I38" s="89">
        <v>804145</v>
      </c>
      <c r="J38" s="81"/>
      <c r="L38" s="87"/>
    </row>
    <row r="39" spans="1:12" ht="25.5" customHeight="1">
      <c r="A39" s="101" t="s">
        <v>138</v>
      </c>
      <c r="B39" s="86" t="str">
        <f>Composições!B2</f>
        <v>CAIXA COLETORA PARA TUBO DN 400MM</v>
      </c>
      <c r="C39" s="80" t="s">
        <v>91</v>
      </c>
      <c r="D39" s="87">
        <v>15</v>
      </c>
      <c r="E39" s="88">
        <f>Composições!E14</f>
        <v>777.27448</v>
      </c>
      <c r="F39" s="83">
        <f t="shared" si="0"/>
        <v>948.27</v>
      </c>
      <c r="G39" s="83">
        <f t="shared" si="1"/>
        <v>14224.05</v>
      </c>
      <c r="H39" s="80"/>
      <c r="I39" s="89" t="s">
        <v>143</v>
      </c>
      <c r="J39" s="81"/>
      <c r="L39" s="87">
        <v>16</v>
      </c>
    </row>
    <row r="40" spans="1:12" ht="25.5" customHeight="1">
      <c r="A40" s="101" t="s">
        <v>139</v>
      </c>
      <c r="B40" s="86" t="str">
        <f>Composições!B17</f>
        <v>CAIXA COLETORA PARA TUBO DN 800MM</v>
      </c>
      <c r="C40" s="80" t="s">
        <v>91</v>
      </c>
      <c r="D40" s="87">
        <v>10</v>
      </c>
      <c r="E40" s="88">
        <f>Composições!E29</f>
        <v>950.8692000000001</v>
      </c>
      <c r="F40" s="83">
        <f t="shared" si="0"/>
        <v>1160.06</v>
      </c>
      <c r="G40" s="83">
        <f t="shared" si="1"/>
        <v>11600.6</v>
      </c>
      <c r="H40" s="80"/>
      <c r="I40" s="89" t="s">
        <v>143</v>
      </c>
      <c r="J40" s="81"/>
      <c r="L40" s="87">
        <v>1</v>
      </c>
    </row>
    <row r="41" spans="1:12" ht="25.5" customHeight="1">
      <c r="A41" s="101" t="s">
        <v>140</v>
      </c>
      <c r="B41" s="86" t="str">
        <f>Composições!B32</f>
        <v>CAIXA COLETORA PARA TUBO DN 1000 MM</v>
      </c>
      <c r="C41" s="80" t="s">
        <v>91</v>
      </c>
      <c r="D41" s="87">
        <v>12</v>
      </c>
      <c r="E41" s="88">
        <f>Composições!E44</f>
        <v>1062.25068</v>
      </c>
      <c r="F41" s="83">
        <f t="shared" si="0"/>
        <v>1295.95</v>
      </c>
      <c r="G41" s="83">
        <f t="shared" si="1"/>
        <v>15551.4</v>
      </c>
      <c r="H41" s="80"/>
      <c r="I41" s="89" t="s">
        <v>143</v>
      </c>
      <c r="J41" s="81"/>
      <c r="L41" s="87">
        <v>8</v>
      </c>
    </row>
    <row r="42" spans="1:12" ht="25.5" customHeight="1">
      <c r="A42" s="101" t="s">
        <v>152</v>
      </c>
      <c r="B42" s="86" t="str">
        <f>Composições!B47</f>
        <v>CAIXA COLETORA PARA TUBO DN 1200 MM</v>
      </c>
      <c r="C42" s="80" t="s">
        <v>91</v>
      </c>
      <c r="D42" s="87">
        <v>7</v>
      </c>
      <c r="E42" s="88">
        <f>Composições!E59</f>
        <v>1160.5169</v>
      </c>
      <c r="F42" s="83">
        <f t="shared" si="0"/>
        <v>1415.83</v>
      </c>
      <c r="G42" s="83">
        <f t="shared" si="1"/>
        <v>9910.81</v>
      </c>
      <c r="H42" s="80"/>
      <c r="I42" s="89" t="s">
        <v>143</v>
      </c>
      <c r="J42" s="81">
        <f>SUM(G25:G42)</f>
        <v>488936.39999999997</v>
      </c>
      <c r="L42" s="87">
        <v>11</v>
      </c>
    </row>
    <row r="43" spans="1:9" s="6" customFormat="1" ht="13.5" thickBot="1">
      <c r="A43" s="172" t="s">
        <v>155</v>
      </c>
      <c r="B43" s="173"/>
      <c r="C43" s="173"/>
      <c r="D43" s="173"/>
      <c r="E43" s="173"/>
      <c r="F43" s="174"/>
      <c r="G43" s="17">
        <f>SUM(G25:G42)</f>
        <v>488936.39999999997</v>
      </c>
      <c r="H43" s="33"/>
      <c r="I43" s="34"/>
    </row>
    <row r="44" spans="1:9" s="6" customFormat="1" ht="13.5" thickBot="1">
      <c r="A44" s="15"/>
      <c r="B44" s="166" t="s">
        <v>77</v>
      </c>
      <c r="C44" s="167"/>
      <c r="D44" s="167"/>
      <c r="E44" s="167"/>
      <c r="F44" s="168"/>
      <c r="G44" s="17">
        <f>G43+G23</f>
        <v>656997.87</v>
      </c>
      <c r="H44" s="33"/>
      <c r="I44" s="34"/>
    </row>
    <row r="45" spans="1:7" ht="12.75">
      <c r="A45" s="1" t="s">
        <v>144</v>
      </c>
      <c r="B45" s="4"/>
      <c r="C45" s="1"/>
      <c r="D45" s="2"/>
      <c r="E45" s="2"/>
      <c r="F45" s="2"/>
      <c r="G45" s="2"/>
    </row>
    <row r="47" ht="12.75">
      <c r="L47" s="91"/>
    </row>
    <row r="72" spans="1:13" s="5" customFormat="1" ht="12.75">
      <c r="A72" s="14" t="s">
        <v>28</v>
      </c>
      <c r="C72"/>
      <c r="D72" s="3"/>
      <c r="E72" s="3"/>
      <c r="F72" s="3"/>
      <c r="G72" s="3"/>
      <c r="H72" s="13"/>
      <c r="I72" s="13"/>
      <c r="J72"/>
      <c r="K72"/>
      <c r="L72"/>
      <c r="M72"/>
    </row>
  </sheetData>
  <sheetProtection/>
  <mergeCells count="7">
    <mergeCell ref="A1:I1"/>
    <mergeCell ref="B44:F44"/>
    <mergeCell ref="C24:F24"/>
    <mergeCell ref="G24:I24"/>
    <mergeCell ref="A23:F23"/>
    <mergeCell ref="A43:F43"/>
    <mergeCell ref="B14:C14"/>
  </mergeCells>
  <printOptions/>
  <pageMargins left="0.7086614173228347" right="1.1023622047244095" top="2.716535433070866" bottom="0.7480314960629921" header="0.31496062992125984" footer="0.31496062992125984"/>
  <pageSetup fitToWidth="0" horizontalDpi="600" verticalDpi="600" orientation="landscape" scale="61" r:id="rId1"/>
  <rowBreaks count="1" manualBreakCount="1">
    <brk id="3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43"/>
  <sheetViews>
    <sheetView showGridLines="0" showZeros="0" view="pageBreakPreview" zoomScaleSheetLayoutView="100" zoomScalePageLayoutView="0" workbookViewId="0" topLeftCell="A1">
      <selection activeCell="A46" sqref="A46:IV46"/>
    </sheetView>
  </sheetViews>
  <sheetFormatPr defaultColWidth="9.140625" defaultRowHeight="12.75"/>
  <cols>
    <col min="1" max="1" width="11.7109375" style="0" bestFit="1" customWidth="1"/>
    <col min="2" max="2" width="9.57421875" style="0" bestFit="1" customWidth="1"/>
    <col min="3" max="3" width="59.57421875" style="0" bestFit="1" customWidth="1"/>
    <col min="4" max="4" width="7.28125" style="0" bestFit="1" customWidth="1"/>
    <col min="5" max="5" width="14.00390625" style="0" customWidth="1"/>
    <col min="6" max="6" width="11.8515625" style="0" bestFit="1" customWidth="1"/>
    <col min="7" max="7" width="14.00390625" style="0" customWidth="1"/>
    <col min="8" max="8" width="7.28125" style="0" customWidth="1"/>
    <col min="9" max="9" width="14.00390625" style="0" customWidth="1"/>
    <col min="10" max="10" width="8.28125" style="18" customWidth="1"/>
    <col min="11" max="11" width="13.140625" style="0" bestFit="1" customWidth="1"/>
    <col min="12" max="12" width="6.140625" style="0" customWidth="1"/>
  </cols>
  <sheetData>
    <row r="1" spans="1:7" ht="21.75" thickBot="1">
      <c r="A1" s="176" t="s">
        <v>31</v>
      </c>
      <c r="B1" s="177"/>
      <c r="C1" s="177"/>
      <c r="D1" s="177"/>
      <c r="E1" s="177"/>
      <c r="F1" s="177"/>
      <c r="G1" s="178"/>
    </row>
    <row r="2" spans="1:7" ht="31.5">
      <c r="A2" s="36"/>
      <c r="B2" s="179" t="s">
        <v>121</v>
      </c>
      <c r="C2" s="180"/>
      <c r="D2" s="180"/>
      <c r="E2" s="180"/>
      <c r="F2" s="181"/>
      <c r="G2" s="37" t="s">
        <v>118</v>
      </c>
    </row>
    <row r="3" spans="1:7" ht="15">
      <c r="A3" s="38" t="s">
        <v>33</v>
      </c>
      <c r="B3" s="39" t="s">
        <v>15</v>
      </c>
      <c r="C3" s="40" t="s">
        <v>34</v>
      </c>
      <c r="D3" s="39" t="s">
        <v>5</v>
      </c>
      <c r="E3" s="39" t="s">
        <v>35</v>
      </c>
      <c r="F3" s="39" t="s">
        <v>36</v>
      </c>
      <c r="G3" s="41" t="s">
        <v>37</v>
      </c>
    </row>
    <row r="4" spans="1:7" ht="12.75">
      <c r="A4" s="77" t="s">
        <v>17</v>
      </c>
      <c r="B4" s="44">
        <v>88309</v>
      </c>
      <c r="C4" s="45" t="s">
        <v>106</v>
      </c>
      <c r="D4" s="46" t="s">
        <v>81</v>
      </c>
      <c r="E4" s="47">
        <v>3</v>
      </c>
      <c r="F4" s="47">
        <v>22.36</v>
      </c>
      <c r="G4" s="47">
        <f>E4*F4</f>
        <v>67.08</v>
      </c>
    </row>
    <row r="5" spans="1:7" ht="12.75">
      <c r="A5" s="77" t="s">
        <v>17</v>
      </c>
      <c r="B5" s="44">
        <v>88316</v>
      </c>
      <c r="C5" s="45" t="s">
        <v>107</v>
      </c>
      <c r="D5" s="46" t="s">
        <v>81</v>
      </c>
      <c r="E5" s="47">
        <v>3.11</v>
      </c>
      <c r="F5" s="47">
        <v>16.52</v>
      </c>
      <c r="G5" s="47">
        <f aca="true" t="shared" si="0" ref="G5:G13">E5*F5</f>
        <v>51.377199999999995</v>
      </c>
    </row>
    <row r="6" spans="1:7" ht="12.75">
      <c r="A6" s="77" t="s">
        <v>17</v>
      </c>
      <c r="B6" s="48">
        <v>96616</v>
      </c>
      <c r="C6" s="49" t="s">
        <v>108</v>
      </c>
      <c r="D6" s="50" t="s">
        <v>82</v>
      </c>
      <c r="E6" s="47">
        <v>0.1</v>
      </c>
      <c r="F6" s="51">
        <v>449.01</v>
      </c>
      <c r="G6" s="47">
        <f t="shared" si="0"/>
        <v>44.901</v>
      </c>
    </row>
    <row r="7" spans="1:7" ht="24">
      <c r="A7" s="77" t="s">
        <v>17</v>
      </c>
      <c r="B7" s="44">
        <v>97096</v>
      </c>
      <c r="C7" s="92" t="s">
        <v>117</v>
      </c>
      <c r="D7" s="46" t="s">
        <v>82</v>
      </c>
      <c r="E7" s="47">
        <v>0.06</v>
      </c>
      <c r="F7" s="47">
        <v>324.33</v>
      </c>
      <c r="G7" s="47">
        <f>E7*F7</f>
        <v>19.459799999999998</v>
      </c>
    </row>
    <row r="8" spans="1:7" ht="12.75">
      <c r="A8" s="77" t="s">
        <v>17</v>
      </c>
      <c r="B8" s="44" t="s">
        <v>105</v>
      </c>
      <c r="C8" s="45" t="s">
        <v>109</v>
      </c>
      <c r="D8" s="46" t="s">
        <v>82</v>
      </c>
      <c r="E8" s="47">
        <v>0.16</v>
      </c>
      <c r="F8" s="47">
        <v>111.65</v>
      </c>
      <c r="G8" s="47">
        <f>E8*F8</f>
        <v>17.864</v>
      </c>
    </row>
    <row r="9" spans="1:7" ht="12.75">
      <c r="A9" s="77" t="s">
        <v>17</v>
      </c>
      <c r="B9" s="44">
        <v>92263</v>
      </c>
      <c r="C9" s="45" t="s">
        <v>111</v>
      </c>
      <c r="D9" s="46" t="s">
        <v>110</v>
      </c>
      <c r="E9" s="47">
        <v>0.4</v>
      </c>
      <c r="F9" s="47">
        <v>97.15</v>
      </c>
      <c r="G9" s="47">
        <f>E9*F9</f>
        <v>38.86000000000001</v>
      </c>
    </row>
    <row r="10" spans="1:7" ht="24">
      <c r="A10" s="77" t="s">
        <v>17</v>
      </c>
      <c r="B10" s="44">
        <v>85662</v>
      </c>
      <c r="C10" s="45" t="s">
        <v>112</v>
      </c>
      <c r="D10" s="46" t="s">
        <v>110</v>
      </c>
      <c r="E10" s="47">
        <f>(0.2*0.8)+(0.8*0.8)</f>
        <v>0.8000000000000002</v>
      </c>
      <c r="F10" s="47">
        <v>11.7</v>
      </c>
      <c r="G10" s="47">
        <f>E10*F10</f>
        <v>9.360000000000001</v>
      </c>
    </row>
    <row r="11" spans="1:7" ht="24.75" customHeight="1">
      <c r="A11" s="77" t="s">
        <v>17</v>
      </c>
      <c r="B11" s="44">
        <v>87298</v>
      </c>
      <c r="C11" s="92" t="s">
        <v>113</v>
      </c>
      <c r="D11" s="46" t="s">
        <v>82</v>
      </c>
      <c r="E11" s="47">
        <f>((0.8*4)*1.55)*0.02</f>
        <v>0.09920000000000002</v>
      </c>
      <c r="F11" s="47">
        <v>440.9</v>
      </c>
      <c r="G11" s="47">
        <f t="shared" si="0"/>
        <v>43.737280000000005</v>
      </c>
    </row>
    <row r="12" spans="1:7" ht="36">
      <c r="A12" s="77" t="s">
        <v>17</v>
      </c>
      <c r="B12" s="44">
        <v>72132</v>
      </c>
      <c r="C12" s="45" t="s">
        <v>116</v>
      </c>
      <c r="D12" s="46" t="s">
        <v>110</v>
      </c>
      <c r="E12" s="47">
        <f>((0.8*3)*1.5)+(0.8*0.8)</f>
        <v>4.24</v>
      </c>
      <c r="F12" s="47">
        <v>64.48</v>
      </c>
      <c r="G12" s="47">
        <f t="shared" si="0"/>
        <v>273.39520000000005</v>
      </c>
    </row>
    <row r="13" spans="1:7" ht="36">
      <c r="A13" s="77" t="s">
        <v>17</v>
      </c>
      <c r="B13" s="44">
        <v>11245</v>
      </c>
      <c r="C13" s="45" t="s">
        <v>115</v>
      </c>
      <c r="D13" s="46" t="s">
        <v>114</v>
      </c>
      <c r="E13" s="47">
        <v>1</v>
      </c>
      <c r="F13" s="47">
        <v>211.24</v>
      </c>
      <c r="G13" s="47">
        <f t="shared" si="0"/>
        <v>211.24</v>
      </c>
    </row>
    <row r="14" spans="1:7" ht="15">
      <c r="A14" s="182" t="s">
        <v>47</v>
      </c>
      <c r="B14" s="183"/>
      <c r="C14" s="184"/>
      <c r="D14" s="184"/>
      <c r="E14" s="185">
        <f>SUM(G4:G13)</f>
        <v>777.27448</v>
      </c>
      <c r="F14" s="186"/>
      <c r="G14" s="187"/>
    </row>
    <row r="15" spans="1:7" ht="15.75" thickBot="1">
      <c r="A15" s="42" t="s">
        <v>39</v>
      </c>
      <c r="B15" s="43"/>
      <c r="C15" s="188" t="s">
        <v>156</v>
      </c>
      <c r="D15" s="189"/>
      <c r="E15" s="189"/>
      <c r="F15" s="189"/>
      <c r="G15" s="190"/>
    </row>
    <row r="16" spans="1:10" s="193" customFormat="1" ht="15.75" thickBot="1">
      <c r="A16" s="191"/>
      <c r="B16" s="192"/>
      <c r="C16" s="192"/>
      <c r="D16" s="192"/>
      <c r="E16" s="192"/>
      <c r="F16" s="192"/>
      <c r="G16" s="192"/>
      <c r="H16" s="192"/>
      <c r="I16" s="192"/>
      <c r="J16" s="192"/>
    </row>
    <row r="17" spans="1:7" ht="31.5">
      <c r="A17" s="36"/>
      <c r="B17" s="179" t="s">
        <v>120</v>
      </c>
      <c r="C17" s="180"/>
      <c r="D17" s="180"/>
      <c r="E17" s="180"/>
      <c r="F17" s="181"/>
      <c r="G17" s="37" t="s">
        <v>118</v>
      </c>
    </row>
    <row r="18" spans="1:7" ht="15">
      <c r="A18" s="38" t="s">
        <v>33</v>
      </c>
      <c r="B18" s="39" t="s">
        <v>15</v>
      </c>
      <c r="C18" s="40" t="s">
        <v>34</v>
      </c>
      <c r="D18" s="39" t="s">
        <v>5</v>
      </c>
      <c r="E18" s="39" t="s">
        <v>35</v>
      </c>
      <c r="F18" s="39" t="s">
        <v>36</v>
      </c>
      <c r="G18" s="41" t="s">
        <v>37</v>
      </c>
    </row>
    <row r="19" spans="1:7" ht="12.75">
      <c r="A19" s="77" t="s">
        <v>17</v>
      </c>
      <c r="B19" s="44">
        <v>88309</v>
      </c>
      <c r="C19" s="45" t="s">
        <v>106</v>
      </c>
      <c r="D19" s="46" t="s">
        <v>81</v>
      </c>
      <c r="E19" s="47">
        <v>5.44</v>
      </c>
      <c r="F19" s="47">
        <v>22.36</v>
      </c>
      <c r="G19" s="47">
        <f>E19*F19</f>
        <v>121.6384</v>
      </c>
    </row>
    <row r="20" spans="1:7" ht="12.75">
      <c r="A20" s="77" t="s">
        <v>17</v>
      </c>
      <c r="B20" s="44">
        <v>88316</v>
      </c>
      <c r="C20" s="45" t="s">
        <v>107</v>
      </c>
      <c r="D20" s="46" t="s">
        <v>81</v>
      </c>
      <c r="E20" s="47">
        <v>5.78</v>
      </c>
      <c r="F20" s="47">
        <v>16.52</v>
      </c>
      <c r="G20" s="47">
        <f aca="true" t="shared" si="1" ref="G20:G28">E20*F20</f>
        <v>95.4856</v>
      </c>
    </row>
    <row r="21" spans="1:7" ht="12.75">
      <c r="A21" s="77" t="s">
        <v>17</v>
      </c>
      <c r="B21" s="48">
        <v>96616</v>
      </c>
      <c r="C21" s="49" t="s">
        <v>108</v>
      </c>
      <c r="D21" s="50" t="s">
        <v>82</v>
      </c>
      <c r="E21" s="47">
        <v>0.13</v>
      </c>
      <c r="F21" s="51">
        <v>449.01</v>
      </c>
      <c r="G21" s="47">
        <f t="shared" si="1"/>
        <v>58.3713</v>
      </c>
    </row>
    <row r="22" spans="1:7" ht="24">
      <c r="A22" s="77" t="s">
        <v>17</v>
      </c>
      <c r="B22" s="44">
        <v>97096</v>
      </c>
      <c r="C22" s="92" t="s">
        <v>117</v>
      </c>
      <c r="D22" s="46" t="s">
        <v>82</v>
      </c>
      <c r="E22" s="47">
        <v>0.07</v>
      </c>
      <c r="F22" s="47">
        <v>324.33</v>
      </c>
      <c r="G22" s="47">
        <f t="shared" si="1"/>
        <v>22.703100000000003</v>
      </c>
    </row>
    <row r="23" spans="1:7" ht="12.75">
      <c r="A23" s="77" t="s">
        <v>17</v>
      </c>
      <c r="B23" s="44" t="s">
        <v>105</v>
      </c>
      <c r="C23" s="45" t="s">
        <v>109</v>
      </c>
      <c r="D23" s="46" t="s">
        <v>82</v>
      </c>
      <c r="E23" s="47">
        <v>0.19</v>
      </c>
      <c r="F23" s="47">
        <v>111.65</v>
      </c>
      <c r="G23" s="47">
        <f t="shared" si="1"/>
        <v>21.2135</v>
      </c>
    </row>
    <row r="24" spans="1:7" ht="12.75">
      <c r="A24" s="77" t="s">
        <v>17</v>
      </c>
      <c r="B24" s="44">
        <v>92263</v>
      </c>
      <c r="C24" s="45" t="s">
        <v>111</v>
      </c>
      <c r="D24" s="46" t="s">
        <v>110</v>
      </c>
      <c r="E24" s="47">
        <v>0.33</v>
      </c>
      <c r="F24" s="47">
        <v>97.15</v>
      </c>
      <c r="G24" s="47">
        <f t="shared" si="1"/>
        <v>32.0595</v>
      </c>
    </row>
    <row r="25" spans="1:7" ht="24">
      <c r="A25" s="77" t="s">
        <v>17</v>
      </c>
      <c r="B25" s="44">
        <v>85662</v>
      </c>
      <c r="C25" s="45" t="s">
        <v>112</v>
      </c>
      <c r="D25" s="46" t="s">
        <v>110</v>
      </c>
      <c r="E25" s="47">
        <v>3.9</v>
      </c>
      <c r="F25" s="47">
        <v>11.7</v>
      </c>
      <c r="G25" s="47">
        <f t="shared" si="1"/>
        <v>45.629999999999995</v>
      </c>
    </row>
    <row r="26" spans="1:7" ht="24.75" customHeight="1">
      <c r="A26" s="77" t="s">
        <v>17</v>
      </c>
      <c r="B26" s="44">
        <v>87298</v>
      </c>
      <c r="C26" s="92" t="s">
        <v>113</v>
      </c>
      <c r="D26" s="46" t="s">
        <v>82</v>
      </c>
      <c r="E26" s="47">
        <v>0.11</v>
      </c>
      <c r="F26" s="47">
        <v>440.9</v>
      </c>
      <c r="G26" s="47">
        <f t="shared" si="1"/>
        <v>48.498999999999995</v>
      </c>
    </row>
    <row r="27" spans="1:7" ht="36">
      <c r="A27" s="77" t="s">
        <v>17</v>
      </c>
      <c r="B27" s="44">
        <v>72132</v>
      </c>
      <c r="C27" s="45" t="s">
        <v>116</v>
      </c>
      <c r="D27" s="46" t="s">
        <v>110</v>
      </c>
      <c r="E27" s="47">
        <f>((0.8*3)*1.5)+(0.8*1.2)</f>
        <v>4.5600000000000005</v>
      </c>
      <c r="F27" s="47">
        <v>64.48</v>
      </c>
      <c r="G27" s="47">
        <f t="shared" si="1"/>
        <v>294.02880000000005</v>
      </c>
    </row>
    <row r="28" spans="1:7" ht="36">
      <c r="A28" s="77" t="s">
        <v>17</v>
      </c>
      <c r="B28" s="44">
        <v>11245</v>
      </c>
      <c r="C28" s="45" t="s">
        <v>115</v>
      </c>
      <c r="D28" s="46" t="s">
        <v>114</v>
      </c>
      <c r="E28" s="47">
        <v>1</v>
      </c>
      <c r="F28" s="47">
        <v>211.24</v>
      </c>
      <c r="G28" s="47">
        <f t="shared" si="1"/>
        <v>211.24</v>
      </c>
    </row>
    <row r="29" spans="1:7" ht="15">
      <c r="A29" s="182" t="s">
        <v>47</v>
      </c>
      <c r="B29" s="183"/>
      <c r="C29" s="184"/>
      <c r="D29" s="184"/>
      <c r="E29" s="185">
        <f>SUM(G19:G28)</f>
        <v>950.8692000000001</v>
      </c>
      <c r="F29" s="186"/>
      <c r="G29" s="187"/>
    </row>
    <row r="30" spans="1:7" ht="15.75" thickBot="1">
      <c r="A30" s="42" t="s">
        <v>39</v>
      </c>
      <c r="B30" s="43"/>
      <c r="C30" s="188" t="s">
        <v>156</v>
      </c>
      <c r="D30" s="189"/>
      <c r="E30" s="189"/>
      <c r="F30" s="189"/>
      <c r="G30" s="190"/>
    </row>
    <row r="31" spans="1:10" s="193" customFormat="1" ht="15.75" thickBot="1">
      <c r="A31" s="191"/>
      <c r="B31" s="192"/>
      <c r="C31" s="192"/>
      <c r="D31" s="192"/>
      <c r="E31" s="192"/>
      <c r="F31" s="192"/>
      <c r="G31" s="192"/>
      <c r="H31" s="192"/>
      <c r="I31" s="192"/>
      <c r="J31" s="192"/>
    </row>
    <row r="32" spans="1:7" ht="31.5">
      <c r="A32" s="36"/>
      <c r="B32" s="179" t="s">
        <v>122</v>
      </c>
      <c r="C32" s="180"/>
      <c r="D32" s="180"/>
      <c r="E32" s="180"/>
      <c r="F32" s="181"/>
      <c r="G32" s="37" t="s">
        <v>118</v>
      </c>
    </row>
    <row r="33" spans="1:7" ht="15">
      <c r="A33" s="38" t="s">
        <v>33</v>
      </c>
      <c r="B33" s="39" t="s">
        <v>15</v>
      </c>
      <c r="C33" s="40" t="s">
        <v>34</v>
      </c>
      <c r="D33" s="39" t="s">
        <v>5</v>
      </c>
      <c r="E33" s="39" t="s">
        <v>35</v>
      </c>
      <c r="F33" s="39" t="s">
        <v>36</v>
      </c>
      <c r="G33" s="41" t="s">
        <v>37</v>
      </c>
    </row>
    <row r="34" spans="1:7" ht="12.75">
      <c r="A34" s="77" t="s">
        <v>17</v>
      </c>
      <c r="B34" s="44">
        <v>88309</v>
      </c>
      <c r="C34" s="45" t="s">
        <v>106</v>
      </c>
      <c r="D34" s="46" t="s">
        <v>81</v>
      </c>
      <c r="E34" s="47">
        <v>5.92</v>
      </c>
      <c r="F34" s="47">
        <v>22.36</v>
      </c>
      <c r="G34" s="47">
        <f>E34*F34</f>
        <v>132.3712</v>
      </c>
    </row>
    <row r="35" spans="1:7" ht="12.75">
      <c r="A35" s="77" t="s">
        <v>17</v>
      </c>
      <c r="B35" s="44">
        <v>88316</v>
      </c>
      <c r="C35" s="45" t="s">
        <v>107</v>
      </c>
      <c r="D35" s="46" t="s">
        <v>81</v>
      </c>
      <c r="E35" s="47">
        <v>6.01</v>
      </c>
      <c r="F35" s="47">
        <v>16.52</v>
      </c>
      <c r="G35" s="47">
        <f aca="true" t="shared" si="2" ref="G35:G43">E35*F35</f>
        <v>99.28519999999999</v>
      </c>
    </row>
    <row r="36" spans="1:7" ht="12.75">
      <c r="A36" s="77" t="s">
        <v>17</v>
      </c>
      <c r="B36" s="48">
        <v>96616</v>
      </c>
      <c r="C36" s="49" t="s">
        <v>108</v>
      </c>
      <c r="D36" s="50" t="s">
        <v>82</v>
      </c>
      <c r="E36" s="47">
        <f>0.8*1.4*0.15</f>
        <v>0.16799999999999998</v>
      </c>
      <c r="F36" s="51">
        <v>449.01</v>
      </c>
      <c r="G36" s="47">
        <f t="shared" si="2"/>
        <v>75.43368</v>
      </c>
    </row>
    <row r="37" spans="1:7" ht="24">
      <c r="A37" s="77" t="s">
        <v>17</v>
      </c>
      <c r="B37" s="44">
        <v>97096</v>
      </c>
      <c r="C37" s="92" t="s">
        <v>117</v>
      </c>
      <c r="D37" s="46" t="s">
        <v>82</v>
      </c>
      <c r="E37" s="47">
        <v>0.08</v>
      </c>
      <c r="F37" s="47">
        <v>324.33</v>
      </c>
      <c r="G37" s="47">
        <f t="shared" si="2"/>
        <v>25.9464</v>
      </c>
    </row>
    <row r="38" spans="1:7" ht="12.75">
      <c r="A38" s="77" t="s">
        <v>17</v>
      </c>
      <c r="B38" s="44" t="s">
        <v>105</v>
      </c>
      <c r="C38" s="45" t="s">
        <v>109</v>
      </c>
      <c r="D38" s="46" t="s">
        <v>82</v>
      </c>
      <c r="E38" s="47">
        <v>0.2</v>
      </c>
      <c r="F38" s="47">
        <v>111.65</v>
      </c>
      <c r="G38" s="47">
        <f t="shared" si="2"/>
        <v>22.330000000000002</v>
      </c>
    </row>
    <row r="39" spans="1:7" ht="12.75">
      <c r="A39" s="77" t="s">
        <v>17</v>
      </c>
      <c r="B39" s="44">
        <v>92263</v>
      </c>
      <c r="C39" s="45" t="s">
        <v>111</v>
      </c>
      <c r="D39" s="46" t="s">
        <v>110</v>
      </c>
      <c r="E39" s="47">
        <f>(1.4*0.8)*0.15*2</f>
        <v>0.33599999999999997</v>
      </c>
      <c r="F39" s="47">
        <v>97.15</v>
      </c>
      <c r="G39" s="47">
        <f t="shared" si="2"/>
        <v>32.6424</v>
      </c>
    </row>
    <row r="40" spans="1:7" ht="24">
      <c r="A40" s="77" t="s">
        <v>17</v>
      </c>
      <c r="B40" s="44">
        <v>85662</v>
      </c>
      <c r="C40" s="45" t="s">
        <v>112</v>
      </c>
      <c r="D40" s="46" t="s">
        <v>110</v>
      </c>
      <c r="E40" s="47">
        <f>((1.4*0.8)+(0.8*0.5))*0.15</f>
        <v>0.22799999999999998</v>
      </c>
      <c r="F40" s="47">
        <v>11.7</v>
      </c>
      <c r="G40" s="47">
        <f t="shared" si="2"/>
        <v>2.6675999999999997</v>
      </c>
    </row>
    <row r="41" spans="1:7" ht="24.75" customHeight="1">
      <c r="A41" s="77" t="s">
        <v>17</v>
      </c>
      <c r="B41" s="44">
        <v>87298</v>
      </c>
      <c r="C41" s="92" t="s">
        <v>113</v>
      </c>
      <c r="D41" s="46" t="s">
        <v>82</v>
      </c>
      <c r="E41" s="47">
        <v>0.19</v>
      </c>
      <c r="F41" s="47">
        <v>440.9</v>
      </c>
      <c r="G41" s="47">
        <f t="shared" si="2"/>
        <v>83.771</v>
      </c>
    </row>
    <row r="42" spans="1:7" ht="36">
      <c r="A42" s="77" t="s">
        <v>17</v>
      </c>
      <c r="B42" s="44">
        <v>72132</v>
      </c>
      <c r="C42" s="45" t="s">
        <v>116</v>
      </c>
      <c r="D42" s="46" t="s">
        <v>110</v>
      </c>
      <c r="E42" s="47">
        <f>((0.8*3)*2)+(0.8*1.3)</f>
        <v>5.840000000000001</v>
      </c>
      <c r="F42" s="47">
        <v>64.48</v>
      </c>
      <c r="G42" s="47">
        <f t="shared" si="2"/>
        <v>376.56320000000005</v>
      </c>
    </row>
    <row r="43" spans="1:7" ht="36">
      <c r="A43" s="77" t="s">
        <v>17</v>
      </c>
      <c r="B43" s="44">
        <v>11245</v>
      </c>
      <c r="C43" s="45" t="s">
        <v>115</v>
      </c>
      <c r="D43" s="46" t="s">
        <v>114</v>
      </c>
      <c r="E43" s="47">
        <v>1</v>
      </c>
      <c r="F43" s="47">
        <v>211.24</v>
      </c>
      <c r="G43" s="47">
        <f t="shared" si="2"/>
        <v>211.24</v>
      </c>
    </row>
    <row r="44" spans="1:7" ht="15">
      <c r="A44" s="182" t="s">
        <v>47</v>
      </c>
      <c r="B44" s="183"/>
      <c r="C44" s="184"/>
      <c r="D44" s="184"/>
      <c r="E44" s="185">
        <f>SUM(G34:G43)</f>
        <v>1062.25068</v>
      </c>
      <c r="F44" s="186"/>
      <c r="G44" s="187"/>
    </row>
    <row r="45" spans="1:7" ht="15.75" thickBot="1">
      <c r="A45" s="42" t="s">
        <v>39</v>
      </c>
      <c r="B45" s="43"/>
      <c r="C45" s="188" t="s">
        <v>156</v>
      </c>
      <c r="D45" s="189"/>
      <c r="E45" s="189"/>
      <c r="F45" s="189"/>
      <c r="G45" s="190"/>
    </row>
    <row r="46" spans="1:10" s="193" customFormat="1" ht="15.75" thickBot="1">
      <c r="A46" s="191"/>
      <c r="B46" s="192"/>
      <c r="C46" s="192"/>
      <c r="D46" s="192"/>
      <c r="E46" s="192"/>
      <c r="F46" s="192"/>
      <c r="G46" s="192"/>
      <c r="H46" s="192"/>
      <c r="I46" s="192"/>
      <c r="J46" s="192"/>
    </row>
    <row r="47" spans="1:7" ht="31.5">
      <c r="A47" s="36"/>
      <c r="B47" s="179" t="s">
        <v>119</v>
      </c>
      <c r="C47" s="180"/>
      <c r="D47" s="180"/>
      <c r="E47" s="180"/>
      <c r="F47" s="181"/>
      <c r="G47" s="37" t="s">
        <v>118</v>
      </c>
    </row>
    <row r="48" spans="1:7" ht="15">
      <c r="A48" s="38" t="s">
        <v>33</v>
      </c>
      <c r="B48" s="39" t="s">
        <v>15</v>
      </c>
      <c r="C48" s="40" t="s">
        <v>34</v>
      </c>
      <c r="D48" s="39" t="s">
        <v>5</v>
      </c>
      <c r="E48" s="39" t="s">
        <v>35</v>
      </c>
      <c r="F48" s="39" t="s">
        <v>36</v>
      </c>
      <c r="G48" s="41" t="s">
        <v>37</v>
      </c>
    </row>
    <row r="49" spans="1:7" ht="12.75">
      <c r="A49" s="77" t="s">
        <v>17</v>
      </c>
      <c r="B49" s="44">
        <v>88309</v>
      </c>
      <c r="C49" s="45" t="s">
        <v>106</v>
      </c>
      <c r="D49" s="46" t="s">
        <v>81</v>
      </c>
      <c r="E49" s="47">
        <v>6.03</v>
      </c>
      <c r="F49" s="47">
        <v>22.36</v>
      </c>
      <c r="G49" s="47">
        <f>E49*F49</f>
        <v>134.8308</v>
      </c>
    </row>
    <row r="50" spans="1:7" ht="12.75">
      <c r="A50" s="77" t="s">
        <v>17</v>
      </c>
      <c r="B50" s="44">
        <v>88316</v>
      </c>
      <c r="C50" s="45" t="s">
        <v>107</v>
      </c>
      <c r="D50" s="46" t="s">
        <v>81</v>
      </c>
      <c r="E50" s="47">
        <v>6.12</v>
      </c>
      <c r="F50" s="47">
        <v>16.52</v>
      </c>
      <c r="G50" s="47">
        <f aca="true" t="shared" si="3" ref="G50:G58">E50*F50</f>
        <v>101.1024</v>
      </c>
    </row>
    <row r="51" spans="1:7" ht="12.75">
      <c r="A51" s="77" t="s">
        <v>17</v>
      </c>
      <c r="B51" s="48">
        <v>96616</v>
      </c>
      <c r="C51" s="49" t="s">
        <v>108</v>
      </c>
      <c r="D51" s="50" t="s">
        <v>82</v>
      </c>
      <c r="E51" s="47">
        <f>0.8*1.6*0.15</f>
        <v>0.19200000000000003</v>
      </c>
      <c r="F51" s="51">
        <v>449.01</v>
      </c>
      <c r="G51" s="47">
        <f t="shared" si="3"/>
        <v>86.20992000000001</v>
      </c>
    </row>
    <row r="52" spans="1:7" ht="24">
      <c r="A52" s="77" t="s">
        <v>17</v>
      </c>
      <c r="B52" s="44">
        <v>97096</v>
      </c>
      <c r="C52" s="92" t="s">
        <v>117</v>
      </c>
      <c r="D52" s="46" t="s">
        <v>82</v>
      </c>
      <c r="E52" s="47">
        <f>0.8*0.8*0.15</f>
        <v>0.09600000000000002</v>
      </c>
      <c r="F52" s="47">
        <v>324.33</v>
      </c>
      <c r="G52" s="47">
        <f t="shared" si="3"/>
        <v>31.135680000000004</v>
      </c>
    </row>
    <row r="53" spans="1:7" ht="12.75">
      <c r="A53" s="77" t="s">
        <v>17</v>
      </c>
      <c r="B53" s="44" t="s">
        <v>105</v>
      </c>
      <c r="C53" s="45" t="s">
        <v>109</v>
      </c>
      <c r="D53" s="46" t="s">
        <v>82</v>
      </c>
      <c r="E53" s="47">
        <v>0.29</v>
      </c>
      <c r="F53" s="47">
        <v>111.65</v>
      </c>
      <c r="G53" s="47">
        <f t="shared" si="3"/>
        <v>32.3785</v>
      </c>
    </row>
    <row r="54" spans="1:7" ht="12.75">
      <c r="A54" s="77" t="s">
        <v>17</v>
      </c>
      <c r="B54" s="44">
        <v>92263</v>
      </c>
      <c r="C54" s="45" t="s">
        <v>111</v>
      </c>
      <c r="D54" s="46" t="s">
        <v>110</v>
      </c>
      <c r="E54" s="47">
        <f>(1.6*0.8)*0.15*2</f>
        <v>0.38400000000000006</v>
      </c>
      <c r="F54" s="47">
        <v>97.15</v>
      </c>
      <c r="G54" s="47">
        <f t="shared" si="3"/>
        <v>37.305600000000005</v>
      </c>
    </row>
    <row r="55" spans="1:7" ht="24">
      <c r="A55" s="77" t="s">
        <v>17</v>
      </c>
      <c r="B55" s="44">
        <v>85662</v>
      </c>
      <c r="C55" s="45" t="s">
        <v>112</v>
      </c>
      <c r="D55" s="46" t="s">
        <v>110</v>
      </c>
      <c r="E55" s="47">
        <f>((1.4*0.8)+(0.8*0.5))*0.15</f>
        <v>0.22799999999999998</v>
      </c>
      <c r="F55" s="47">
        <v>11.7</v>
      </c>
      <c r="G55" s="47">
        <f t="shared" si="3"/>
        <v>2.6675999999999997</v>
      </c>
    </row>
    <row r="56" spans="1:7" ht="24.75" customHeight="1">
      <c r="A56" s="77" t="s">
        <v>17</v>
      </c>
      <c r="B56" s="44">
        <v>87298</v>
      </c>
      <c r="C56" s="92" t="s">
        <v>113</v>
      </c>
      <c r="D56" s="46" t="s">
        <v>82</v>
      </c>
      <c r="E56" s="47">
        <v>0.24</v>
      </c>
      <c r="F56" s="47">
        <v>440.9</v>
      </c>
      <c r="G56" s="47">
        <f t="shared" si="3"/>
        <v>105.81599999999999</v>
      </c>
    </row>
    <row r="57" spans="1:7" ht="36">
      <c r="A57" s="77" t="s">
        <v>17</v>
      </c>
      <c r="B57" s="44">
        <v>72132</v>
      </c>
      <c r="C57" s="45" t="s">
        <v>116</v>
      </c>
      <c r="D57" s="46" t="s">
        <v>110</v>
      </c>
      <c r="E57" s="47">
        <f>((0.8*3)*2.2)+(0.8*1.5)</f>
        <v>6.480000000000001</v>
      </c>
      <c r="F57" s="47">
        <v>64.48</v>
      </c>
      <c r="G57" s="47">
        <f t="shared" si="3"/>
        <v>417.8304000000001</v>
      </c>
    </row>
    <row r="58" spans="1:7" ht="36">
      <c r="A58" s="77" t="s">
        <v>17</v>
      </c>
      <c r="B58" s="44">
        <v>11245</v>
      </c>
      <c r="C58" s="45" t="s">
        <v>115</v>
      </c>
      <c r="D58" s="46" t="s">
        <v>114</v>
      </c>
      <c r="E58" s="47">
        <v>1</v>
      </c>
      <c r="F58" s="47">
        <v>211.24</v>
      </c>
      <c r="G58" s="47">
        <f t="shared" si="3"/>
        <v>211.24</v>
      </c>
    </row>
    <row r="59" spans="1:7" ht="15">
      <c r="A59" s="182" t="s">
        <v>47</v>
      </c>
      <c r="B59" s="183"/>
      <c r="C59" s="184"/>
      <c r="D59" s="184"/>
      <c r="E59" s="185">
        <f>SUM(G49:G58)</f>
        <v>1160.5169</v>
      </c>
      <c r="F59" s="186"/>
      <c r="G59" s="187"/>
    </row>
    <row r="60" spans="1:7" ht="15.75" thickBot="1">
      <c r="A60" s="42" t="s">
        <v>39</v>
      </c>
      <c r="B60" s="43"/>
      <c r="C60" s="188" t="s">
        <v>156</v>
      </c>
      <c r="D60" s="189"/>
      <c r="E60" s="189"/>
      <c r="F60" s="189"/>
      <c r="G60" s="190"/>
    </row>
    <row r="61" spans="1:10" s="98" customFormat="1" ht="15.75" hidden="1" thickBot="1">
      <c r="A61" s="93"/>
      <c r="B61" s="94"/>
      <c r="C61" s="95"/>
      <c r="D61" s="96"/>
      <c r="E61" s="96"/>
      <c r="F61" s="96"/>
      <c r="G61" s="97"/>
      <c r="J61" s="99"/>
    </row>
    <row r="62" spans="1:7" ht="21.75" hidden="1" thickBot="1">
      <c r="A62" s="176" t="s">
        <v>31</v>
      </c>
      <c r="B62" s="177"/>
      <c r="C62" s="177"/>
      <c r="D62" s="177"/>
      <c r="E62" s="177"/>
      <c r="F62" s="177"/>
      <c r="G62" s="178"/>
    </row>
    <row r="63" spans="1:7" ht="31.5" hidden="1">
      <c r="A63" s="36"/>
      <c r="B63" s="179" t="s">
        <v>75</v>
      </c>
      <c r="C63" s="180"/>
      <c r="D63" s="180"/>
      <c r="E63" s="180"/>
      <c r="F63" s="181"/>
      <c r="G63" s="37" t="s">
        <v>32</v>
      </c>
    </row>
    <row r="64" spans="1:7" ht="15" hidden="1">
      <c r="A64" s="38" t="s">
        <v>33</v>
      </c>
      <c r="B64" s="39" t="s">
        <v>15</v>
      </c>
      <c r="C64" s="40" t="s">
        <v>34</v>
      </c>
      <c r="D64" s="39" t="s">
        <v>5</v>
      </c>
      <c r="E64" s="39" t="s">
        <v>35</v>
      </c>
      <c r="F64" s="39" t="s">
        <v>36</v>
      </c>
      <c r="G64" s="41" t="s">
        <v>37</v>
      </c>
    </row>
    <row r="65" spans="1:7" ht="12.75" hidden="1">
      <c r="A65" s="77" t="s">
        <v>17</v>
      </c>
      <c r="B65" s="44">
        <v>90091</v>
      </c>
      <c r="C65" s="45" t="s">
        <v>40</v>
      </c>
      <c r="D65" s="46" t="s">
        <v>38</v>
      </c>
      <c r="E65" s="47">
        <v>1</v>
      </c>
      <c r="F65" s="47">
        <v>5.41</v>
      </c>
      <c r="G65" s="47">
        <f>E65*F65</f>
        <v>5.41</v>
      </c>
    </row>
    <row r="66" spans="1:7" ht="12.75" hidden="1">
      <c r="A66" s="77" t="s">
        <v>27</v>
      </c>
      <c r="B66" s="44">
        <v>5914389</v>
      </c>
      <c r="C66" s="45" t="s">
        <v>41</v>
      </c>
      <c r="D66" s="46" t="s">
        <v>42</v>
      </c>
      <c r="E66" s="47">
        <v>1</v>
      </c>
      <c r="F66" s="47">
        <v>0.47</v>
      </c>
      <c r="G66" s="47">
        <f aca="true" t="shared" si="4" ref="G66:G71">E66*F66</f>
        <v>0.47</v>
      </c>
    </row>
    <row r="67" spans="1:7" ht="24" hidden="1">
      <c r="A67" s="78" t="s">
        <v>17</v>
      </c>
      <c r="B67" s="48">
        <v>41722</v>
      </c>
      <c r="C67" s="49" t="s">
        <v>46</v>
      </c>
      <c r="D67" s="50" t="s">
        <v>38</v>
      </c>
      <c r="E67" s="47">
        <v>1</v>
      </c>
      <c r="F67" s="51">
        <v>4.29</v>
      </c>
      <c r="G67" s="47">
        <f t="shared" si="4"/>
        <v>4.29</v>
      </c>
    </row>
    <row r="68" spans="1:7" ht="12.75" hidden="1">
      <c r="A68" s="77" t="s">
        <v>27</v>
      </c>
      <c r="B68" s="44">
        <v>4011282</v>
      </c>
      <c r="C68" s="79" t="s">
        <v>43</v>
      </c>
      <c r="D68" s="46" t="s">
        <v>4</v>
      </c>
      <c r="E68" s="47">
        <v>1</v>
      </c>
      <c r="F68" s="47">
        <v>79.67</v>
      </c>
      <c r="G68" s="47">
        <f t="shared" si="4"/>
        <v>79.67</v>
      </c>
    </row>
    <row r="69" spans="1:7" ht="12.75" hidden="1">
      <c r="A69" s="77" t="s">
        <v>27</v>
      </c>
      <c r="B69" s="44">
        <v>4011276</v>
      </c>
      <c r="C69" s="45" t="s">
        <v>83</v>
      </c>
      <c r="D69" s="46" t="s">
        <v>4</v>
      </c>
      <c r="E69" s="47">
        <v>1</v>
      </c>
      <c r="F69" s="47">
        <v>97.1</v>
      </c>
      <c r="G69" s="47">
        <f t="shared" si="4"/>
        <v>97.1</v>
      </c>
    </row>
    <row r="70" spans="1:7" ht="12.75" hidden="1">
      <c r="A70" s="77" t="s">
        <v>17</v>
      </c>
      <c r="B70" s="44">
        <v>72844</v>
      </c>
      <c r="C70" s="45" t="s">
        <v>44</v>
      </c>
      <c r="D70" s="46" t="s">
        <v>45</v>
      </c>
      <c r="E70" s="47">
        <v>1</v>
      </c>
      <c r="F70" s="47">
        <v>0.7</v>
      </c>
      <c r="G70" s="47">
        <f t="shared" si="4"/>
        <v>0.7</v>
      </c>
    </row>
    <row r="71" spans="1:7" ht="12.75" hidden="1">
      <c r="A71" s="77" t="s">
        <v>27</v>
      </c>
      <c r="B71" s="44">
        <v>5914389</v>
      </c>
      <c r="C71" s="45" t="s">
        <v>41</v>
      </c>
      <c r="D71" s="46" t="s">
        <v>42</v>
      </c>
      <c r="E71" s="47">
        <v>1</v>
      </c>
      <c r="F71" s="47">
        <v>0.47</v>
      </c>
      <c r="G71" s="47">
        <f t="shared" si="4"/>
        <v>0.47</v>
      </c>
    </row>
    <row r="72" spans="1:7" ht="15" hidden="1">
      <c r="A72" s="182" t="s">
        <v>47</v>
      </c>
      <c r="B72" s="183"/>
      <c r="C72" s="184"/>
      <c r="D72" s="184"/>
      <c r="E72" s="185">
        <f>((F65*0.45)+(F67*0.15)+(F68*0.15)+(F69*0.15))+((0.45*1.8*0.9)*26)+(0.7*1.8*0.9)+((1.8*0.45*0.9)*20)</f>
        <v>64.2615</v>
      </c>
      <c r="F72" s="186"/>
      <c r="G72" s="187"/>
    </row>
    <row r="73" spans="1:7" ht="15.75" hidden="1" thickBot="1">
      <c r="A73" s="42" t="s">
        <v>39</v>
      </c>
      <c r="B73" s="43"/>
      <c r="C73" s="188" t="s">
        <v>84</v>
      </c>
      <c r="D73" s="189"/>
      <c r="E73" s="189"/>
      <c r="F73" s="189"/>
      <c r="G73" s="190"/>
    </row>
    <row r="74" spans="1:7" ht="15">
      <c r="A74" s="74"/>
      <c r="B74" s="75"/>
      <c r="C74" s="76"/>
      <c r="D74" s="76"/>
      <c r="E74" s="76"/>
      <c r="F74" s="76"/>
      <c r="G74" s="76"/>
    </row>
    <row r="75" s="66" customFormat="1" ht="12.75">
      <c r="J75" s="90"/>
    </row>
    <row r="76" s="66" customFormat="1" ht="12.75">
      <c r="J76" s="90"/>
    </row>
    <row r="77" s="66" customFormat="1" ht="12.75">
      <c r="J77" s="90"/>
    </row>
    <row r="78" s="66" customFormat="1" ht="12.75">
      <c r="J78" s="90"/>
    </row>
    <row r="79" s="66" customFormat="1" ht="12.75">
      <c r="J79" s="90"/>
    </row>
    <row r="80" s="66" customFormat="1" ht="12.75">
      <c r="J80" s="90"/>
    </row>
    <row r="81" s="66" customFormat="1" ht="12.75">
      <c r="J81" s="90"/>
    </row>
    <row r="82" s="66" customFormat="1" ht="12.75">
      <c r="J82" s="90"/>
    </row>
    <row r="83" s="66" customFormat="1" ht="12.75">
      <c r="J83" s="90"/>
    </row>
    <row r="84" s="66" customFormat="1" ht="12.75">
      <c r="J84" s="90"/>
    </row>
    <row r="85" s="66" customFormat="1" ht="12.75">
      <c r="J85" s="90"/>
    </row>
    <row r="86" s="66" customFormat="1" ht="12.75">
      <c r="J86" s="90"/>
    </row>
    <row r="87" s="66" customFormat="1" ht="12.75">
      <c r="J87" s="90"/>
    </row>
    <row r="88" s="66" customFormat="1" ht="12.75">
      <c r="J88" s="90"/>
    </row>
    <row r="89" s="66" customFormat="1" ht="12.75">
      <c r="J89" s="90"/>
    </row>
    <row r="90" s="66" customFormat="1" ht="12.75">
      <c r="J90" s="90"/>
    </row>
    <row r="91" s="66" customFormat="1" ht="12.75">
      <c r="J91" s="90"/>
    </row>
    <row r="92" s="66" customFormat="1" ht="12.75">
      <c r="J92" s="90"/>
    </row>
    <row r="93" s="66" customFormat="1" ht="12.75">
      <c r="J93" s="90"/>
    </row>
    <row r="94" s="66" customFormat="1" ht="12.75">
      <c r="J94" s="90"/>
    </row>
    <row r="95" s="66" customFormat="1" ht="12.75">
      <c r="J95" s="90"/>
    </row>
    <row r="96" s="66" customFormat="1" ht="12.75">
      <c r="J96" s="90"/>
    </row>
    <row r="97" s="66" customFormat="1" ht="12.75">
      <c r="J97" s="90"/>
    </row>
    <row r="98" s="66" customFormat="1" ht="12.75">
      <c r="J98" s="90"/>
    </row>
    <row r="99" s="66" customFormat="1" ht="12.75">
      <c r="J99" s="90"/>
    </row>
    <row r="100" s="66" customFormat="1" ht="12.75">
      <c r="J100" s="90"/>
    </row>
    <row r="101" s="66" customFormat="1" ht="12.75">
      <c r="J101" s="90"/>
    </row>
    <row r="102" s="66" customFormat="1" ht="12.75">
      <c r="J102" s="90"/>
    </row>
    <row r="103" s="66" customFormat="1" ht="12.75">
      <c r="J103" s="90"/>
    </row>
    <row r="104" s="66" customFormat="1" ht="12.75">
      <c r="J104" s="90"/>
    </row>
    <row r="105" s="66" customFormat="1" ht="12.75">
      <c r="J105" s="90"/>
    </row>
    <row r="106" s="66" customFormat="1" ht="12.75">
      <c r="J106" s="90"/>
    </row>
    <row r="107" s="66" customFormat="1" ht="12.75">
      <c r="J107" s="90"/>
    </row>
    <row r="108" s="66" customFormat="1" ht="12.75">
      <c r="J108" s="90"/>
    </row>
    <row r="109" s="66" customFormat="1" ht="12.75">
      <c r="J109" s="90"/>
    </row>
    <row r="110" s="66" customFormat="1" ht="12.75">
      <c r="J110" s="90"/>
    </row>
    <row r="111" s="66" customFormat="1" ht="12.75">
      <c r="J111" s="90"/>
    </row>
    <row r="112" s="66" customFormat="1" ht="12.75">
      <c r="J112" s="90"/>
    </row>
    <row r="113" s="66" customFormat="1" ht="12.75">
      <c r="J113" s="90"/>
    </row>
    <row r="114" s="66" customFormat="1" ht="12.75">
      <c r="J114" s="90"/>
    </row>
    <row r="115" s="66" customFormat="1" ht="12.75">
      <c r="J115" s="90"/>
    </row>
    <row r="116" s="66" customFormat="1" ht="12.75">
      <c r="J116" s="90"/>
    </row>
    <row r="117" s="66" customFormat="1" ht="12.75">
      <c r="J117" s="90"/>
    </row>
    <row r="118" s="66" customFormat="1" ht="12.75">
      <c r="J118" s="90"/>
    </row>
    <row r="119" s="66" customFormat="1" ht="12.75">
      <c r="J119" s="90"/>
    </row>
    <row r="120" s="66" customFormat="1" ht="12.75">
      <c r="J120" s="90"/>
    </row>
    <row r="121" s="66" customFormat="1" ht="12.75">
      <c r="J121" s="90"/>
    </row>
    <row r="122" s="66" customFormat="1" ht="12.75">
      <c r="J122" s="90"/>
    </row>
    <row r="123" s="66" customFormat="1" ht="12.75">
      <c r="J123" s="90"/>
    </row>
    <row r="124" s="66" customFormat="1" ht="12.75">
      <c r="J124" s="90"/>
    </row>
    <row r="125" s="66" customFormat="1" ht="12.75">
      <c r="J125" s="90"/>
    </row>
    <row r="126" s="66" customFormat="1" ht="12.75">
      <c r="J126" s="90"/>
    </row>
    <row r="127" s="66" customFormat="1" ht="12.75">
      <c r="J127" s="90"/>
    </row>
    <row r="128" s="66" customFormat="1" ht="12.75">
      <c r="J128" s="90"/>
    </row>
    <row r="129" s="66" customFormat="1" ht="12.75">
      <c r="J129" s="90"/>
    </row>
    <row r="130" s="66" customFormat="1" ht="12.75">
      <c r="J130" s="90"/>
    </row>
    <row r="131" s="66" customFormat="1" ht="12.75">
      <c r="J131" s="90"/>
    </row>
    <row r="132" s="66" customFormat="1" ht="12.75">
      <c r="J132" s="90"/>
    </row>
    <row r="133" s="66" customFormat="1" ht="12.75">
      <c r="J133" s="90"/>
    </row>
    <row r="134" s="66" customFormat="1" ht="12.75">
      <c r="J134" s="90"/>
    </row>
    <row r="135" s="66" customFormat="1" ht="12.75">
      <c r="J135" s="90"/>
    </row>
    <row r="136" s="66" customFormat="1" ht="12.75">
      <c r="J136" s="90"/>
    </row>
    <row r="137" s="66" customFormat="1" ht="12.75">
      <c r="J137" s="90"/>
    </row>
    <row r="138" s="66" customFormat="1" ht="12.75">
      <c r="J138" s="90"/>
    </row>
    <row r="139" s="66" customFormat="1" ht="12.75">
      <c r="J139" s="90"/>
    </row>
    <row r="140" s="66" customFormat="1" ht="12.75">
      <c r="J140" s="90"/>
    </row>
    <row r="141" s="66" customFormat="1" ht="12.75">
      <c r="J141" s="90"/>
    </row>
    <row r="142" s="66" customFormat="1" ht="12.75">
      <c r="J142" s="90"/>
    </row>
    <row r="143" s="66" customFormat="1" ht="12.75">
      <c r="J143" s="90"/>
    </row>
  </sheetData>
  <sheetProtection/>
  <mergeCells count="25">
    <mergeCell ref="C60:G60"/>
    <mergeCell ref="A31:IV31"/>
    <mergeCell ref="A16:IV16"/>
    <mergeCell ref="A46:IV46"/>
    <mergeCell ref="A44:D44"/>
    <mergeCell ref="E44:G44"/>
    <mergeCell ref="C45:G45"/>
    <mergeCell ref="B47:F47"/>
    <mergeCell ref="A59:D59"/>
    <mergeCell ref="E59:G59"/>
    <mergeCell ref="B17:F17"/>
    <mergeCell ref="A29:D29"/>
    <mergeCell ref="E29:G29"/>
    <mergeCell ref="C30:G30"/>
    <mergeCell ref="B32:F32"/>
    <mergeCell ref="A1:G1"/>
    <mergeCell ref="B2:F2"/>
    <mergeCell ref="A14:D14"/>
    <mergeCell ref="E14:G14"/>
    <mergeCell ref="C15:G15"/>
    <mergeCell ref="A62:G62"/>
    <mergeCell ref="B63:F63"/>
    <mergeCell ref="A72:D72"/>
    <mergeCell ref="E72:G72"/>
    <mergeCell ref="C73:G73"/>
  </mergeCells>
  <printOptions/>
  <pageMargins left="0.984251968503937" right="0.5118110236220472" top="2.362204724409449" bottom="0.7874015748031497" header="0.31496062992125984" footer="0.31496062992125984"/>
  <pageSetup horizontalDpi="600" verticalDpi="600" orientation="portrait" paperSize="9" scale="60" r:id="rId1"/>
  <rowBreaks count="2" manualBreakCount="2">
    <brk id="45" max="6" man="1"/>
    <brk id="7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5:P26"/>
  <sheetViews>
    <sheetView view="pageBreakPreview" zoomScale="115" zoomScaleNormal="115" zoomScaleSheetLayoutView="115" zoomScalePageLayoutView="0" workbookViewId="0" topLeftCell="A6">
      <selection activeCell="D28" sqref="D28"/>
    </sheetView>
  </sheetViews>
  <sheetFormatPr defaultColWidth="9.140625" defaultRowHeight="12.75"/>
  <cols>
    <col min="1" max="1" width="9.28125" style="0" bestFit="1" customWidth="1"/>
    <col min="2" max="2" width="30.57421875" style="0" customWidth="1"/>
    <col min="3" max="3" width="14.7109375" style="0" customWidth="1"/>
    <col min="4" max="4" width="9.28125" style="0" bestFit="1" customWidth="1"/>
    <col min="5" max="5" width="9.8515625" style="0" bestFit="1" customWidth="1"/>
    <col min="6" max="6" width="9.28125" style="0" bestFit="1" customWidth="1"/>
    <col min="7" max="7" width="9.8515625" style="0" bestFit="1" customWidth="1"/>
    <col min="8" max="8" width="9.28125" style="0" bestFit="1" customWidth="1"/>
    <col min="9" max="9" width="9.8515625" style="0" bestFit="1" customWidth="1"/>
    <col min="10" max="10" width="9.28125" style="0" bestFit="1" customWidth="1"/>
    <col min="11" max="11" width="9.8515625" style="0" bestFit="1" customWidth="1"/>
    <col min="12" max="12" width="9.28125" style="0" bestFit="1" customWidth="1"/>
    <col min="13" max="13" width="9.8515625" style="0" bestFit="1" customWidth="1"/>
    <col min="14" max="14" width="9.28125" style="0" bestFit="1" customWidth="1"/>
    <col min="15" max="15" width="11.57421875" style="0" customWidth="1"/>
    <col min="16" max="16" width="9.28125" style="0" bestFit="1" customWidth="1"/>
  </cols>
  <sheetData>
    <row r="15" spans="1:16" ht="20.25">
      <c r="A15" s="104" t="str">
        <f>'[1]ORCA'!A1</f>
        <v>PREFEITURA MUNICIPAL DE TIMBÓ</v>
      </c>
      <c r="B15" s="105"/>
      <c r="C15" s="106"/>
      <c r="D15" s="107"/>
      <c r="E15" s="107"/>
      <c r="F15" s="108"/>
      <c r="G15" s="66"/>
      <c r="H15" s="109"/>
      <c r="I15" s="107"/>
      <c r="J15" s="108"/>
      <c r="K15" s="108"/>
      <c r="L15" s="108"/>
      <c r="M15" s="108"/>
      <c r="N15" s="108"/>
      <c r="O15" s="66"/>
      <c r="P15" s="66"/>
    </row>
    <row r="16" spans="1:16" ht="12.75">
      <c r="A16" s="110" t="str">
        <f>'[1]ORCA'!A2</f>
        <v>SECRETARIA DE PLANEJAMENTO, TRÂNSITO, MEIO AMBIENTE, INDÚSTRIA, COMÉRCIO E SERVIÇOS</v>
      </c>
      <c r="B16" s="110"/>
      <c r="C16" s="110"/>
      <c r="D16" s="110"/>
      <c r="E16" s="110"/>
      <c r="F16" s="110"/>
      <c r="G16" s="110"/>
      <c r="H16" s="108"/>
      <c r="I16" s="107"/>
      <c r="J16" s="108"/>
      <c r="K16" s="108"/>
      <c r="L16" s="108"/>
      <c r="M16" s="108"/>
      <c r="N16" s="108"/>
      <c r="O16" s="66"/>
      <c r="P16" s="66"/>
    </row>
    <row r="17" spans="1:16" ht="12.75">
      <c r="A17" s="194" t="s">
        <v>157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6"/>
    </row>
    <row r="18" spans="1:16" ht="12.75">
      <c r="A18" s="111" t="str">
        <f>'[1]ORCA'!A5</f>
        <v>PROJETO : </v>
      </c>
      <c r="B18" s="112" t="str">
        <f>'ADOT. PROF 0.6'!B14</f>
        <v>RECUPERAÇÃO DAS CAMADAS ABAIXO DO PAVIMENTO EXISTENTE E DRENAGEM ARISTILIANO RAMOS</v>
      </c>
      <c r="C18" s="113"/>
      <c r="D18" s="113"/>
      <c r="E18" s="114"/>
      <c r="F18" s="115"/>
      <c r="G18" s="116"/>
      <c r="H18" s="117"/>
      <c r="I18" s="118"/>
      <c r="J18" s="117"/>
      <c r="K18" s="117"/>
      <c r="L18" s="117"/>
      <c r="M18" s="117"/>
      <c r="N18" s="117"/>
      <c r="O18" s="116"/>
      <c r="P18" s="119"/>
    </row>
    <row r="19" spans="1:16" ht="12.75">
      <c r="A19" s="120"/>
      <c r="B19" s="121"/>
      <c r="C19" s="122"/>
      <c r="D19" s="123"/>
      <c r="E19" s="124"/>
      <c r="F19" s="125"/>
      <c r="G19" s="126"/>
      <c r="H19" s="127"/>
      <c r="I19" s="122"/>
      <c r="J19" s="127"/>
      <c r="K19" s="127"/>
      <c r="L19" s="127"/>
      <c r="M19" s="127"/>
      <c r="N19" s="127"/>
      <c r="O19" s="126"/>
      <c r="P19" s="128"/>
    </row>
    <row r="20" spans="1:16" ht="12.75">
      <c r="A20" s="197" t="s">
        <v>0</v>
      </c>
      <c r="B20" s="199" t="s">
        <v>18</v>
      </c>
      <c r="C20" s="129" t="s">
        <v>19</v>
      </c>
      <c r="D20" s="201" t="s">
        <v>20</v>
      </c>
      <c r="E20" s="203" t="s">
        <v>158</v>
      </c>
      <c r="F20" s="204"/>
      <c r="G20" s="203" t="s">
        <v>159</v>
      </c>
      <c r="H20" s="204"/>
      <c r="I20" s="203" t="s">
        <v>160</v>
      </c>
      <c r="J20" s="204"/>
      <c r="K20" s="203" t="s">
        <v>161</v>
      </c>
      <c r="L20" s="204"/>
      <c r="M20" s="203" t="s">
        <v>162</v>
      </c>
      <c r="N20" s="204"/>
      <c r="O20" s="130" t="s">
        <v>19</v>
      </c>
      <c r="P20" s="129" t="s">
        <v>20</v>
      </c>
    </row>
    <row r="21" spans="1:16" ht="13.5" thickBot="1">
      <c r="A21" s="198"/>
      <c r="B21" s="200"/>
      <c r="C21" s="131" t="s">
        <v>23</v>
      </c>
      <c r="D21" s="202"/>
      <c r="E21" s="132" t="s">
        <v>78</v>
      </c>
      <c r="F21" s="133" t="s">
        <v>20</v>
      </c>
      <c r="G21" s="132" t="s">
        <v>21</v>
      </c>
      <c r="H21" s="133" t="s">
        <v>20</v>
      </c>
      <c r="I21" s="132" t="s">
        <v>22</v>
      </c>
      <c r="J21" s="133" t="s">
        <v>20</v>
      </c>
      <c r="K21" s="132" t="s">
        <v>79</v>
      </c>
      <c r="L21" s="134" t="s">
        <v>20</v>
      </c>
      <c r="M21" s="132" t="s">
        <v>80</v>
      </c>
      <c r="N21" s="134" t="s">
        <v>20</v>
      </c>
      <c r="O21" s="135" t="s">
        <v>23</v>
      </c>
      <c r="P21" s="131" t="s">
        <v>23</v>
      </c>
    </row>
    <row r="22" spans="1:16" ht="13.5" thickTop="1">
      <c r="A22" s="136">
        <v>1</v>
      </c>
      <c r="B22" s="137" t="str">
        <f>'ADOT. PROF 0.6'!B18</f>
        <v>RECUPERAÇÃO DO PAVIMENTO EXISTENTE</v>
      </c>
      <c r="C22" s="137">
        <f>'ADOT. PROF 0.6'!G23</f>
        <v>168061.47</v>
      </c>
      <c r="D22" s="138">
        <f>SUM(C22*100%/$C$24)</f>
        <v>0.255802153513831</v>
      </c>
      <c r="E22" s="139">
        <f>SUM($C$22*F22)</f>
        <v>33612.294</v>
      </c>
      <c r="F22" s="140">
        <v>0.2</v>
      </c>
      <c r="G22" s="139">
        <f>SUM($C$22*H22)</f>
        <v>33612.294</v>
      </c>
      <c r="H22" s="140">
        <v>0.2</v>
      </c>
      <c r="I22" s="139">
        <f>SUM($C$22*J22)</f>
        <v>33612.294</v>
      </c>
      <c r="J22" s="140">
        <v>0.2</v>
      </c>
      <c r="K22" s="139">
        <f>SUM(C22*L22)</f>
        <v>33612.294</v>
      </c>
      <c r="L22" s="140">
        <v>0.2</v>
      </c>
      <c r="M22" s="139">
        <f>SUM(C22*N22)</f>
        <v>33612.294</v>
      </c>
      <c r="N22" s="140">
        <v>0.2</v>
      </c>
      <c r="O22" s="141">
        <f>E22+G22+I22+K22+M22</f>
        <v>168061.47</v>
      </c>
      <c r="P22" s="142">
        <f>F22+H22+J22+L22+N22</f>
        <v>1</v>
      </c>
    </row>
    <row r="23" spans="1:16" ht="12.75">
      <c r="A23" s="136">
        <v>2</v>
      </c>
      <c r="B23" s="137" t="str">
        <f>'ADOT. PROF 0.6'!B24</f>
        <v>DRENAGEM DE ÁGUAS PLUVIAIS</v>
      </c>
      <c r="C23" s="137">
        <f>'ADOT. PROF 0.6'!G43</f>
        <v>488936.39999999997</v>
      </c>
      <c r="D23" s="138">
        <f>SUM(C23*100%/$C$24)</f>
        <v>0.7441978464861689</v>
      </c>
      <c r="E23" s="139">
        <f>SUM($C$23*F23)</f>
        <v>97787.28</v>
      </c>
      <c r="F23" s="140">
        <v>0.2</v>
      </c>
      <c r="G23" s="139">
        <f>SUM($C$23*H23)</f>
        <v>97787.28</v>
      </c>
      <c r="H23" s="140">
        <v>0.2</v>
      </c>
      <c r="I23" s="139">
        <f>SUM($C$23*J23)</f>
        <v>97787.28</v>
      </c>
      <c r="J23" s="140">
        <v>0.2</v>
      </c>
      <c r="K23" s="139">
        <f>SUM(C23*L23)</f>
        <v>97787.28</v>
      </c>
      <c r="L23" s="140">
        <v>0.2</v>
      </c>
      <c r="M23" s="139">
        <f>SUM(C23*N23)</f>
        <v>97787.28</v>
      </c>
      <c r="N23" s="140">
        <v>0.2</v>
      </c>
      <c r="O23" s="141">
        <f>E23+G23+I23+K23+M23</f>
        <v>488936.4</v>
      </c>
      <c r="P23" s="142">
        <f>F23+H23+J23+L23+N23</f>
        <v>1</v>
      </c>
    </row>
    <row r="24" spans="1:16" ht="14.25">
      <c r="A24" s="143"/>
      <c r="B24" s="144" t="s">
        <v>24</v>
      </c>
      <c r="C24" s="145">
        <f>SUM(C22:C23)</f>
        <v>656997.87</v>
      </c>
      <c r="D24" s="146">
        <f>SUM(D22:D23)</f>
        <v>1</v>
      </c>
      <c r="E24" s="147"/>
      <c r="F24" s="148"/>
      <c r="G24" s="147"/>
      <c r="H24" s="148"/>
      <c r="I24" s="147"/>
      <c r="J24" s="148"/>
      <c r="K24" s="148"/>
      <c r="L24" s="148"/>
      <c r="M24" s="148"/>
      <c r="N24" s="148"/>
      <c r="O24" s="149"/>
      <c r="P24" s="150"/>
    </row>
    <row r="25" spans="1:16" ht="12.75">
      <c r="A25" s="151"/>
      <c r="B25" s="152" t="s">
        <v>25</v>
      </c>
      <c r="C25" s="20"/>
      <c r="D25" s="20"/>
      <c r="E25" s="153">
        <f>SUM(E22:E23)</f>
        <v>131399.574</v>
      </c>
      <c r="F25" s="154">
        <f>SUM(E25*100%/C24)</f>
        <v>0.19999999999999998</v>
      </c>
      <c r="G25" s="153">
        <f>SUM(G22:G23)</f>
        <v>131399.574</v>
      </c>
      <c r="H25" s="154">
        <f>SUM(G25*100%/$C$24)</f>
        <v>0.19999999999999998</v>
      </c>
      <c r="I25" s="153">
        <f>SUM(I22:I23)</f>
        <v>131399.574</v>
      </c>
      <c r="J25" s="154">
        <f>SUM(I25*100%/$C$24)</f>
        <v>0.19999999999999998</v>
      </c>
      <c r="K25" s="153">
        <f>SUM(K22:K23)</f>
        <v>131399.574</v>
      </c>
      <c r="L25" s="154">
        <f>SUM(K25*100%/$C$24)</f>
        <v>0.19999999999999998</v>
      </c>
      <c r="M25" s="153">
        <f>SUM(M22:M23)</f>
        <v>131399.574</v>
      </c>
      <c r="N25" s="154">
        <f>SUM(M25*100%/$C$24)</f>
        <v>0.19999999999999998</v>
      </c>
      <c r="O25" s="155">
        <f>SUM(O22:O23)</f>
        <v>656997.87</v>
      </c>
      <c r="P25" s="156">
        <f>SUM(O25*100%/$C$24)</f>
        <v>1</v>
      </c>
    </row>
    <row r="26" spans="1:16" ht="12.75">
      <c r="A26" s="151"/>
      <c r="B26" s="152" t="s">
        <v>26</v>
      </c>
      <c r="C26" s="157"/>
      <c r="D26" s="158"/>
      <c r="E26" s="159">
        <f>SUM(E25)</f>
        <v>131399.574</v>
      </c>
      <c r="F26" s="154">
        <f>SUM(F25)</f>
        <v>0.19999999999999998</v>
      </c>
      <c r="G26" s="159">
        <f>SUM(E26+G25)</f>
        <v>262799.148</v>
      </c>
      <c r="H26" s="154">
        <f>SUM(F26+H25)</f>
        <v>0.39999999999999997</v>
      </c>
      <c r="I26" s="159">
        <f>SUM(G26+I25)</f>
        <v>394198.72199999995</v>
      </c>
      <c r="J26" s="160">
        <f>SUM(H26+J25)</f>
        <v>0.6</v>
      </c>
      <c r="K26" s="159">
        <f>SUM(I26+K25)</f>
        <v>525598.296</v>
      </c>
      <c r="L26" s="160">
        <f>SUM(J26+L25)</f>
        <v>0.7999999999999999</v>
      </c>
      <c r="M26" s="159">
        <f>SUM(K26+M25)</f>
        <v>656997.87</v>
      </c>
      <c r="N26" s="160">
        <f>SUM(L26+N25)</f>
        <v>0.9999999999999999</v>
      </c>
      <c r="O26" s="161"/>
      <c r="P26" s="162"/>
    </row>
  </sheetData>
  <sheetProtection/>
  <mergeCells count="9">
    <mergeCell ref="A17:P17"/>
    <mergeCell ref="A20:A21"/>
    <mergeCell ref="B20:B21"/>
    <mergeCell ref="D20:D21"/>
    <mergeCell ref="E20:F20"/>
    <mergeCell ref="G20:H20"/>
    <mergeCell ref="I20:J20"/>
    <mergeCell ref="K20:L20"/>
    <mergeCell ref="M20:N20"/>
  </mergeCells>
  <printOptions/>
  <pageMargins left="0.5118110236220472" right="2.283464566929134" top="0.984251968503937" bottom="0.7874015748031497" header="0.31496062992125984" footer="0.31496062992125984"/>
  <pageSetup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="60" zoomScalePageLayoutView="0" workbookViewId="0" topLeftCell="A1">
      <selection activeCell="R37" sqref="R35:R37"/>
    </sheetView>
  </sheetViews>
  <sheetFormatPr defaultColWidth="9.140625" defaultRowHeight="12.75"/>
  <cols>
    <col min="1" max="1" width="23.140625" style="0" customWidth="1"/>
    <col min="2" max="2" width="18.00390625" style="0" customWidth="1"/>
    <col min="3" max="3" width="12.00390625" style="0" customWidth="1"/>
    <col min="4" max="4" width="11.57421875" style="0" customWidth="1"/>
    <col min="5" max="5" width="12.28125" style="0" customWidth="1"/>
  </cols>
  <sheetData>
    <row r="1" spans="1:5" ht="12.75">
      <c r="A1" s="205" t="s">
        <v>48</v>
      </c>
      <c r="B1" s="205"/>
      <c r="C1" s="205"/>
      <c r="D1" s="205"/>
      <c r="E1" s="205"/>
    </row>
    <row r="2" spans="2:4" ht="12.75">
      <c r="B2" s="52"/>
      <c r="C2" s="52"/>
      <c r="D2" s="52"/>
    </row>
    <row r="3" spans="1:10" ht="12.75">
      <c r="A3" s="22" t="s">
        <v>49</v>
      </c>
      <c r="B3" s="53" t="s">
        <v>50</v>
      </c>
      <c r="C3" s="53" t="s">
        <v>51</v>
      </c>
      <c r="D3" s="53" t="s">
        <v>52</v>
      </c>
      <c r="E3" s="22" t="s">
        <v>53</v>
      </c>
      <c r="F3" s="21"/>
      <c r="G3" s="21"/>
      <c r="H3" s="21"/>
      <c r="I3" s="21"/>
      <c r="J3" s="21"/>
    </row>
    <row r="4" spans="1:6" ht="12.75">
      <c r="A4" s="19" t="s">
        <v>54</v>
      </c>
      <c r="B4" s="53">
        <v>3.8</v>
      </c>
      <c r="C4" s="53">
        <v>4.01</v>
      </c>
      <c r="D4" s="53">
        <v>4.67</v>
      </c>
      <c r="E4" s="54">
        <v>4.01</v>
      </c>
      <c r="F4">
        <f>E4/100</f>
        <v>0.0401</v>
      </c>
    </row>
    <row r="5" spans="1:6" ht="12.75">
      <c r="A5" s="19" t="s">
        <v>55</v>
      </c>
      <c r="B5" s="53">
        <v>0.32</v>
      </c>
      <c r="C5" s="53">
        <v>0.4</v>
      </c>
      <c r="D5" s="53">
        <v>0.74</v>
      </c>
      <c r="E5" s="54">
        <v>0.4</v>
      </c>
      <c r="F5">
        <f>E5/100</f>
        <v>0.004</v>
      </c>
    </row>
    <row r="6" spans="1:6" ht="12.75">
      <c r="A6" s="19" t="s">
        <v>56</v>
      </c>
      <c r="B6" s="53">
        <v>0.5</v>
      </c>
      <c r="C6" s="53">
        <v>0.56</v>
      </c>
      <c r="D6" s="53">
        <v>0.97</v>
      </c>
      <c r="E6" s="54">
        <v>0.56</v>
      </c>
      <c r="F6">
        <f>E6/100</f>
        <v>0.005600000000000001</v>
      </c>
    </row>
    <row r="7" spans="1:6" ht="12.75">
      <c r="A7" s="19" t="s">
        <v>57</v>
      </c>
      <c r="B7" s="53">
        <v>1.02</v>
      </c>
      <c r="C7" s="53">
        <v>1.11</v>
      </c>
      <c r="D7" s="53">
        <v>1.21</v>
      </c>
      <c r="E7" s="54">
        <v>1.11</v>
      </c>
      <c r="F7">
        <f>E7/100</f>
        <v>0.0111</v>
      </c>
    </row>
    <row r="8" spans="1:6" ht="12.75">
      <c r="A8" s="19" t="s">
        <v>58</v>
      </c>
      <c r="B8" s="53">
        <v>6.64</v>
      </c>
      <c r="C8" s="53">
        <v>7.3</v>
      </c>
      <c r="D8" s="53">
        <v>8.69</v>
      </c>
      <c r="E8" s="54">
        <v>7.3</v>
      </c>
      <c r="F8">
        <f>E8/100</f>
        <v>0.073</v>
      </c>
    </row>
    <row r="9" spans="1:6" ht="12.75">
      <c r="A9" s="19" t="s">
        <v>59</v>
      </c>
      <c r="B9" s="53">
        <v>7.65</v>
      </c>
      <c r="C9" s="53">
        <v>13.2</v>
      </c>
      <c r="D9" s="53">
        <v>18.75</v>
      </c>
      <c r="E9" s="54">
        <v>11.15</v>
      </c>
      <c r="F9">
        <f>E9/100</f>
        <v>0.1115</v>
      </c>
    </row>
    <row r="10" spans="1:5" ht="12.75">
      <c r="A10" s="55" t="s">
        <v>60</v>
      </c>
      <c r="B10" s="53">
        <v>0.65</v>
      </c>
      <c r="C10" s="53">
        <v>0.65</v>
      </c>
      <c r="D10" s="53">
        <v>0.65</v>
      </c>
      <c r="E10" s="54">
        <v>0.65</v>
      </c>
    </row>
    <row r="11" spans="1:9" ht="12.75">
      <c r="A11" s="55" t="s">
        <v>61</v>
      </c>
      <c r="B11" s="53">
        <v>3</v>
      </c>
      <c r="C11" s="53">
        <v>3</v>
      </c>
      <c r="D11" s="53">
        <v>3</v>
      </c>
      <c r="E11" s="56">
        <v>3</v>
      </c>
      <c r="I11">
        <f>((((1+F4+F5+F6)*(1+F7)*(1+F8))/(1-F13))-1)*100</f>
        <v>21.995751677557607</v>
      </c>
    </row>
    <row r="12" spans="1:5" ht="12.75">
      <c r="A12" s="55" t="s">
        <v>62</v>
      </c>
      <c r="B12" s="53">
        <v>2</v>
      </c>
      <c r="C12" s="53">
        <v>3.5</v>
      </c>
      <c r="D12" s="53">
        <v>5</v>
      </c>
      <c r="E12" s="54">
        <v>3</v>
      </c>
    </row>
    <row r="13" spans="1:6" ht="12.75">
      <c r="A13" s="55" t="s">
        <v>63</v>
      </c>
      <c r="B13" s="53">
        <v>2</v>
      </c>
      <c r="C13" s="53">
        <v>3.25</v>
      </c>
      <c r="D13" s="53">
        <v>4.5</v>
      </c>
      <c r="E13" s="56"/>
      <c r="F13">
        <f>(E10+E11+E12+E13)/100</f>
        <v>0.0665</v>
      </c>
    </row>
    <row r="14" spans="2:4" ht="12.75">
      <c r="B14" s="52"/>
      <c r="C14" s="52"/>
      <c r="D14" s="52"/>
    </row>
    <row r="15" spans="2:4" ht="12.75">
      <c r="B15" s="52"/>
      <c r="C15" s="52"/>
      <c r="D15" s="52"/>
    </row>
    <row r="16" spans="2:4" ht="12.75">
      <c r="B16" s="52"/>
      <c r="C16" s="52"/>
      <c r="D16" s="52"/>
    </row>
    <row r="17" spans="2:4" ht="12.75">
      <c r="B17" s="52"/>
      <c r="C17" s="52"/>
      <c r="D17" s="52"/>
    </row>
    <row r="18" spans="2:4" ht="12.75">
      <c r="B18" s="52"/>
      <c r="C18" s="52"/>
      <c r="D18" s="52"/>
    </row>
    <row r="19" spans="2:4" ht="12.75">
      <c r="B19" s="52"/>
      <c r="C19" s="52"/>
      <c r="D19" s="52"/>
    </row>
    <row r="20" spans="1:4" ht="12.75">
      <c r="A20" t="s">
        <v>64</v>
      </c>
      <c r="B20" s="52"/>
      <c r="C20" s="52"/>
      <c r="D20" s="52"/>
    </row>
    <row r="21" spans="1:4" ht="12.75">
      <c r="A21" t="s">
        <v>65</v>
      </c>
      <c r="B21" s="52"/>
      <c r="C21" s="52"/>
      <c r="D21" s="52"/>
    </row>
    <row r="22" spans="1:4" ht="12.75">
      <c r="A22" t="s">
        <v>66</v>
      </c>
      <c r="B22" s="52"/>
      <c r="C22" s="52"/>
      <c r="D22" s="52"/>
    </row>
    <row r="23" spans="1:4" ht="12.75">
      <c r="A23" t="s">
        <v>67</v>
      </c>
      <c r="B23" s="52"/>
      <c r="C23" s="52"/>
      <c r="D23" s="52"/>
    </row>
    <row r="24" spans="1:4" ht="12.75">
      <c r="A24" t="s">
        <v>68</v>
      </c>
      <c r="B24" s="52"/>
      <c r="C24" s="52"/>
      <c r="D24" s="52"/>
    </row>
    <row r="25" spans="1:4" ht="12.75">
      <c r="A25" t="s">
        <v>69</v>
      </c>
      <c r="B25" s="52"/>
      <c r="C25" s="52"/>
      <c r="D25" s="52"/>
    </row>
    <row r="26" spans="1:4" ht="12.75">
      <c r="A26" t="s">
        <v>70</v>
      </c>
      <c r="B26" s="52"/>
      <c r="C26" s="52"/>
      <c r="D26" s="52"/>
    </row>
    <row r="27" spans="2:4" ht="13.5" thickBot="1">
      <c r="B27" s="52"/>
      <c r="C27" s="52"/>
      <c r="D27" s="52"/>
    </row>
    <row r="28" spans="1:5" ht="15.75" thickBot="1">
      <c r="A28" s="57" t="s">
        <v>13</v>
      </c>
      <c r="B28" s="58">
        <f>I11</f>
        <v>21.995751677557607</v>
      </c>
      <c r="C28" s="59" t="s">
        <v>20</v>
      </c>
      <c r="D28" s="60"/>
      <c r="E28" s="61">
        <f>((((1+F4+F5+F6)*(1+F7)*(1+F8))/(1-F9))-1)*100</f>
        <v>28.17448980416437</v>
      </c>
    </row>
    <row r="29" spans="2:4" ht="12.75">
      <c r="B29" s="52"/>
      <c r="C29" s="52"/>
      <c r="D29" s="52"/>
    </row>
  </sheetData>
  <sheetProtection/>
  <mergeCells count="1">
    <mergeCell ref="A1:E1"/>
  </mergeCells>
  <printOptions/>
  <pageMargins left="1.1023622047244095" right="0.5118110236220472" top="2.362204724409449" bottom="0.7874015748031497" header="0.31496062992125984" footer="0.31496062992125984"/>
  <pageSetup horizontalDpi="600" verticalDpi="600" orientation="portrait" paperSize="9" r:id="rId3"/>
  <legacyDrawing r:id="rId2"/>
  <oleObjects>
    <oleObject progId="Word.Document.12" shapeId="1041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Timbo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Mery Dalcanale</cp:lastModifiedBy>
  <cp:lastPrinted>2019-04-10T10:48:04Z</cp:lastPrinted>
  <dcterms:created xsi:type="dcterms:W3CDTF">2001-12-06T19:05:24Z</dcterms:created>
  <dcterms:modified xsi:type="dcterms:W3CDTF">2019-04-16T11:26:30Z</dcterms:modified>
  <cp:category/>
  <cp:version/>
  <cp:contentType/>
  <cp:contentStatus/>
</cp:coreProperties>
</file>