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2" activeTab="0"/>
  </bookViews>
  <sheets>
    <sheet name="ORÇAMENTO" sheetId="1" r:id="rId1"/>
    <sheet name="COMPOSIÇÕES" sheetId="2" r:id="rId2"/>
    <sheet name="CRONOGRAM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#N/A</definedName>
    <definedName name="\e">#N/A</definedName>
    <definedName name="__SL6">#N/A</definedName>
    <definedName name="_expansao" localSheetId="2">#REF!</definedName>
    <definedName name="_expansao" localSheetId="0">#REF!</definedName>
    <definedName name="_expansao">#REF!</definedName>
    <definedName name="_expansao___0" localSheetId="2">#REF!</definedName>
    <definedName name="_expansao___0" localSheetId="0">#REF!</definedName>
    <definedName name="_expansao___0">#REF!</definedName>
    <definedName name="_expansao___2" localSheetId="2">#REF!</definedName>
    <definedName name="_expansao___2" localSheetId="0">#REF!</definedName>
    <definedName name="_expansao___2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MAT1" localSheetId="2">'[1]EQUIP'!#REF!</definedName>
    <definedName name="_MAT1" localSheetId="0">'[1]EQUIP'!#REF!</definedName>
    <definedName name="_MAT1">'[1]EQUIP'!#REF!</definedName>
    <definedName name="_Order1" hidden="1">255</definedName>
    <definedName name="_Order2" hidden="1">255</definedName>
    <definedName name="_SL6">#N/A</definedName>
    <definedName name="_Sort" localSheetId="2" hidden="1">#REF!</definedName>
    <definedName name="_Sort" localSheetId="0" hidden="1">#REF!</definedName>
    <definedName name="_Sort" hidden="1">#REF!</definedName>
    <definedName name="A" localSheetId="2">'[2]MDO'!#REF!</definedName>
    <definedName name="A" localSheetId="0">'[2]MDO'!#REF!</definedName>
    <definedName name="A">'[2]MDO'!#REF!</definedName>
    <definedName name="AAA" localSheetId="2">#REF!</definedName>
    <definedName name="AAA" localSheetId="0">#REF!</definedName>
    <definedName name="AAA">#REF!</definedName>
    <definedName name="aaaaaaa" localSheetId="2" hidden="1">#REF!</definedName>
    <definedName name="aaaaaaa" localSheetId="0" hidden="1">#REF!</definedName>
    <definedName name="aaaaaaa" hidden="1">#REF!</definedName>
    <definedName name="ABRE_COLUNAS">#N/A</definedName>
    <definedName name="ACERTA_TITULOS">#N/A</definedName>
    <definedName name="ar" localSheetId="2">#REF!</definedName>
    <definedName name="ar" localSheetId="0">#REF!</definedName>
    <definedName name="ar">#REF!</definedName>
    <definedName name="_xlnm.Print_Area" localSheetId="1">'COMPOSIÇÕES'!$A$1:$G$134</definedName>
    <definedName name="_xlnm.Print_Area" localSheetId="2">'CRONOGRAMA'!$A$1:$J$15</definedName>
    <definedName name="_xlnm.Print_Area" localSheetId="0">'ORÇAMENTO'!$A$1:$J$29</definedName>
    <definedName name="Área_impressão_IM" localSheetId="2">#REF!</definedName>
    <definedName name="Área_impressão_IM" localSheetId="0">#REF!</definedName>
    <definedName name="Área_impressão_IM">#REF!</definedName>
    <definedName name="ASP" localSheetId="2">#REF!</definedName>
    <definedName name="ASP" localSheetId="0">#REF!</definedName>
    <definedName name="ASP">#REF!</definedName>
    <definedName name="BANCO" localSheetId="2">#REF!</definedName>
    <definedName name="BANCO" localSheetId="0">#REF!</definedName>
    <definedName name="BANCO">#REF!</definedName>
    <definedName name="BANCO1" localSheetId="2">#REF!</definedName>
    <definedName name="BANCO1" localSheetId="0">#REF!</definedName>
    <definedName name="BANCO1">#REF!</definedName>
    <definedName name="BANCO2" localSheetId="2">#REF!</definedName>
    <definedName name="BANCO2" localSheetId="0">#REF!</definedName>
    <definedName name="BANCO2">#REF!</definedName>
    <definedName name="BANCO3" localSheetId="2">#REF!</definedName>
    <definedName name="BANCO3" localSheetId="0">#REF!</definedName>
    <definedName name="BANCO3">#REF!</definedName>
    <definedName name="BANCO4" localSheetId="2">#REF!</definedName>
    <definedName name="BANCO4" localSheetId="0">#REF!</definedName>
    <definedName name="BANCO4">#REF!</definedName>
    <definedName name="bdi" localSheetId="2">#REF!</definedName>
    <definedName name="bdi" localSheetId="0">#REF!</definedName>
    <definedName name="bdi">#REF!</definedName>
    <definedName name="BLOCO_BEEP">#N/A</definedName>
    <definedName name="BLOCO_IMPRESSAO">#N/A</definedName>
    <definedName name="BLOCO_SI">#N/A</definedName>
    <definedName name="bocais" localSheetId="2">#REF!</definedName>
    <definedName name="bocais" localSheetId="0">#REF!</definedName>
    <definedName name="bocais">#REF!</definedName>
    <definedName name="bocais___0" localSheetId="2">#REF!</definedName>
    <definedName name="bocais___0" localSheetId="0">#REF!</definedName>
    <definedName name="bocais___0">#REF!</definedName>
    <definedName name="bocais___2" localSheetId="2">#REF!</definedName>
    <definedName name="bocais___2" localSheetId="0">#REF!</definedName>
    <definedName name="bocais___2">#REF!</definedName>
    <definedName name="Bomba_putzmeister" localSheetId="2">#REF!</definedName>
    <definedName name="Bomba_putzmeister" localSheetId="0">#REF!</definedName>
    <definedName name="Bomba_putzmeister">#REF!</definedName>
    <definedName name="calculo_de_hf" localSheetId="2">#REF!</definedName>
    <definedName name="calculo_de_hf" localSheetId="0">#REF!</definedName>
    <definedName name="calculo_de_hf">#REF!</definedName>
    <definedName name="calculo_de_hf___0" localSheetId="2">#REF!</definedName>
    <definedName name="calculo_de_hf___0" localSheetId="0">#REF!</definedName>
    <definedName name="calculo_de_hf___0">#REF!</definedName>
    <definedName name="calculo_de_hf___2" localSheetId="2">#REF!</definedName>
    <definedName name="calculo_de_hf___2" localSheetId="0">#REF!</definedName>
    <definedName name="calculo_de_hf___2">#REF!</definedName>
    <definedName name="Capa1" localSheetId="2">#REF!</definedName>
    <definedName name="Capa1" localSheetId="0">#REF!</definedName>
    <definedName name="Capa1">#REF!</definedName>
    <definedName name="CODIGO" localSheetId="2">#REF!</definedName>
    <definedName name="CODIGO" localSheetId="0">#REF!</definedName>
    <definedName name="CODIGO">#REF!</definedName>
    <definedName name="Código" localSheetId="2">#REF!</definedName>
    <definedName name="Código" localSheetId="0">#REF!</definedName>
    <definedName name="Código">#REF!</definedName>
    <definedName name="COMEÇO" localSheetId="2">'[3]CAPA -1'!#REF!</definedName>
    <definedName name="COMEÇO" localSheetId="0">'[3]CAPA -1'!#REF!</definedName>
    <definedName name="COMEÇO">'[3]CAPA -1'!#REF!</definedName>
    <definedName name="CONTADOR">#N/A</definedName>
    <definedName name="CPAV" localSheetId="2">#REF!</definedName>
    <definedName name="CPAV" localSheetId="0">#REF!</definedName>
    <definedName name="CPAV">#REF!</definedName>
    <definedName name="CRITERIA" localSheetId="2">'[4]MV cubicle'!#REF!</definedName>
    <definedName name="CRITERIA" localSheetId="0">'[4]MV cubicle'!#REF!</definedName>
    <definedName name="CRITERIA">'[4]MV cubicle'!#REF!</definedName>
    <definedName name="cu" localSheetId="2" hidden="1">#REF!</definedName>
    <definedName name="cu" localSheetId="0" hidden="1">#REF!</definedName>
    <definedName name="cu" hidden="1">#REF!</definedName>
    <definedName name="D">'[5]Serviços'!$A:$I</definedName>
    <definedName name="Data" localSheetId="2">#REF!</definedName>
    <definedName name="Data" localSheetId="0">#REF!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'[5]Serviços'!$A:$I</definedName>
    <definedName name="DIMENSIONAMENTO_DE_TUBULAÇÃO" localSheetId="2">#REF!</definedName>
    <definedName name="DIMENSIONAMENTO_DE_TUBULAÇÃO" localSheetId="0">#REF!</definedName>
    <definedName name="DIMENSIONAMENTO_DE_TUBULAÇÃO">#REF!</definedName>
    <definedName name="DIMENSIONAMENTO_DE_TUBULAÇÃO___0" localSheetId="2">#REF!</definedName>
    <definedName name="DIMENSIONAMENTO_DE_TUBULAÇÃO___0" localSheetId="0">#REF!</definedName>
    <definedName name="DIMENSIONAMENTO_DE_TUBULAÇÃO___0">#REF!</definedName>
    <definedName name="DIMENSIONAMENTO_DE_TUBULAÇÃO___2" localSheetId="2">#REF!</definedName>
    <definedName name="DIMENSIONAMENTO_DE_TUBULAÇÃO___2" localSheetId="0">#REF!</definedName>
    <definedName name="DIMENSIONAMENTO_DE_TUBULAÇÃO___2">#REF!</definedName>
    <definedName name="DIST" localSheetId="2">#REF!</definedName>
    <definedName name="DIST" localSheetId="0">#REF!</definedName>
    <definedName name="DIST">#REF!</definedName>
    <definedName name="DIST1" localSheetId="2">#REF!</definedName>
    <definedName name="DIST1" localSheetId="0">#REF!</definedName>
    <definedName name="DIST1">#REF!</definedName>
    <definedName name="DIST10" localSheetId="2">#REF!</definedName>
    <definedName name="DIST10" localSheetId="0">#REF!</definedName>
    <definedName name="DIST10">#REF!</definedName>
    <definedName name="DIST2" localSheetId="2">#REF!</definedName>
    <definedName name="DIST2" localSheetId="0">#REF!</definedName>
    <definedName name="DIST2">#REF!</definedName>
    <definedName name="DT">'[6]Dados'!$A$6</definedName>
    <definedName name="DTUBOS" localSheetId="2">#REF!</definedName>
    <definedName name="DTUBOS" localSheetId="0">#REF!</definedName>
    <definedName name="DTUBOS">#REF!</definedName>
    <definedName name="DTUBOS___0" localSheetId="2">#REF!</definedName>
    <definedName name="DTUBOS___0" localSheetId="0">#REF!</definedName>
    <definedName name="DTUBOS___0">#REF!</definedName>
    <definedName name="DTUBOS___2" localSheetId="2">#REF!</definedName>
    <definedName name="DTUBOS___2" localSheetId="0">#REF!</definedName>
    <definedName name="DTUBOS___2">#REF!</definedName>
    <definedName name="E" localSheetId="2">#REF!</definedName>
    <definedName name="E" localSheetId="0">#REF!</definedName>
    <definedName name="E">#REF!</definedName>
    <definedName name="E_ESQUERDA">#N/A</definedName>
    <definedName name="Edital" localSheetId="2">#REF!</definedName>
    <definedName name="Edital" localSheetId="0">#REF!</definedName>
    <definedName name="Edital">#REF!</definedName>
    <definedName name="EQPTO" localSheetId="2">#REF!</definedName>
    <definedName name="EQPTO" localSheetId="0">#REF!</definedName>
    <definedName name="EQPTO">#REF!</definedName>
    <definedName name="equipamento" localSheetId="2">#REF!</definedName>
    <definedName name="equipamento" localSheetId="0">#REF!</definedName>
    <definedName name="equipamento">#REF!</definedName>
    <definedName name="ERRO">#N/A</definedName>
    <definedName name="Excel_BuiltIn__FilterDatabase_1" localSheetId="2">'[7]REPROGRAMAÇÃO ORÇAMENTO'!#REF!</definedName>
    <definedName name="Excel_BuiltIn__FilterDatabase_1" localSheetId="0">'[7]REPROGRAMAÇÃO ORÇAMENTO'!#REF!</definedName>
    <definedName name="Excel_BuiltIn__FilterDatabase_1">'[7]REPROGRAMAÇÃO ORÇAMENTO'!#REF!</definedName>
    <definedName name="Excel_BuiltIn__FilterDatabase_13" localSheetId="2">#REF!</definedName>
    <definedName name="Excel_BuiltIn__FilterDatabase_13" localSheetId="0">#REF!</definedName>
    <definedName name="Excel_BuiltIn__FilterDatabase_13">#REF!</definedName>
    <definedName name="Excel_BuiltIn__FilterDatabase_14" localSheetId="2">#REF!</definedName>
    <definedName name="Excel_BuiltIn__FilterDatabase_14" localSheetId="0">#REF!</definedName>
    <definedName name="Excel_BuiltIn__FilterDatabase_14">#REF!</definedName>
    <definedName name="Excel_BuiltIn__FilterDatabase_15" localSheetId="2">#REF!</definedName>
    <definedName name="Excel_BuiltIn__FilterDatabase_15" localSheetId="0">#REF!</definedName>
    <definedName name="Excel_BuiltIn__FilterDatabase_15">#REF!</definedName>
    <definedName name="Excel_BuiltIn__FilterDatabase_16" localSheetId="2">#REF!</definedName>
    <definedName name="Excel_BuiltIn__FilterDatabase_16" localSheetId="0">#REF!</definedName>
    <definedName name="Excel_BuiltIn__FilterDatabase_16">#REF!</definedName>
    <definedName name="Excel_BuiltIn__FilterDatabase_17" localSheetId="2">#REF!</definedName>
    <definedName name="Excel_BuiltIn__FilterDatabase_17" localSheetId="0">#REF!</definedName>
    <definedName name="Excel_BuiltIn__FilterDatabase_17">#REF!</definedName>
    <definedName name="Excel_BuiltIn__FilterDatabase_18" localSheetId="2">#REF!</definedName>
    <definedName name="Excel_BuiltIn__FilterDatabase_18" localSheetId="0">#REF!</definedName>
    <definedName name="Excel_BuiltIn__FilterDatabase_18">#REF!</definedName>
    <definedName name="expansão" localSheetId="2">#REF!</definedName>
    <definedName name="expansão" localSheetId="0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 localSheetId="2">#REF!</definedName>
    <definedName name="insumos" localSheetId="0">#REF!</definedName>
    <definedName name="insumos">#REF!</definedName>
    <definedName name="ITEM" localSheetId="2">#REF!</definedName>
    <definedName name="ITEM" localSheetId="0">#REF!</definedName>
    <definedName name="ITEM">#REF!</definedName>
    <definedName name="L_">#N/A</definedName>
    <definedName name="Licitante">'[8]2.1.1'!$B$3</definedName>
    <definedName name="lp" localSheetId="2">#REF!</definedName>
    <definedName name="lp" localSheetId="0">#REF!</definedName>
    <definedName name="lp">#REF!</definedName>
    <definedName name="Mão_de_Obra" localSheetId="2">#REF!</definedName>
    <definedName name="Mão_de_Obra" localSheetId="0">#REF!</definedName>
    <definedName name="Mão_de_Obra">#REF!</definedName>
    <definedName name="MAT" localSheetId="2">'[1]EQUIP'!#REF!</definedName>
    <definedName name="MAT" localSheetId="0">'[1]EQUIP'!#REF!</definedName>
    <definedName name="MAT">'[1]EQUIP'!#REF!</definedName>
    <definedName name="materiais" localSheetId="2">#REF!</definedName>
    <definedName name="materiais" localSheetId="0">#REF!</definedName>
    <definedName name="materiais">#REF!</definedName>
    <definedName name="MENSAGEM">#N/A</definedName>
    <definedName name="MENSSAGEM_ERRO">#N/A</definedName>
    <definedName name="MO" localSheetId="2">'[1]EQUIP'!#REF!</definedName>
    <definedName name="MO" localSheetId="0">'[1]EQUIP'!#REF!</definedName>
    <definedName name="MO">'[1]EQUIP'!#REF!</definedName>
    <definedName name="N_FOLHAS">#N/A</definedName>
    <definedName name="Objeto" localSheetId="2">#REF!</definedName>
    <definedName name="Objeto" localSheetId="0">#REF!</definedName>
    <definedName name="Objeto">#REF!</definedName>
    <definedName name="OI" localSheetId="2" hidden="1">#REF!</definedName>
    <definedName name="OI" localSheetId="0" hidden="1">#REF!</definedName>
    <definedName name="OI" hidden="1">#REF!</definedName>
    <definedName name="PL_ABC" localSheetId="2">#REF!</definedName>
    <definedName name="PL_ABC" localSheetId="0">#REF!</definedName>
    <definedName name="PL_ABC">#REF!</definedName>
    <definedName name="planilha" localSheetId="2">#REF!</definedName>
    <definedName name="planilha" localSheetId="0">#REF!</definedName>
    <definedName name="planilha">#REF!</definedName>
    <definedName name="Print_Area_MI" localSheetId="2">'[9]RESGER'!#REF!</definedName>
    <definedName name="Print_Area_MI" localSheetId="0">'[9]RESGER'!#REF!</definedName>
    <definedName name="Print_Area_MI">'[9]RESGER'!#REF!</definedName>
    <definedName name="Print_Titles_MI">'[9]RESGER'!$1:$9,'[9]RESGER'!$E:$E</definedName>
    <definedName name="QA">#N/A</definedName>
    <definedName name="reducao" localSheetId="2">#REF!</definedName>
    <definedName name="reducao" localSheetId="0">#REF!</definedName>
    <definedName name="reducao">#REF!</definedName>
    <definedName name="reducao___0" localSheetId="2">#REF!</definedName>
    <definedName name="reducao___0" localSheetId="0">#REF!</definedName>
    <definedName name="reducao___0">#REF!</definedName>
    <definedName name="reducao___2" localSheetId="2">#REF!</definedName>
    <definedName name="reducao___2" localSheetId="0">#REF!</definedName>
    <definedName name="reducao___2">#REF!</definedName>
    <definedName name="RES_CPS" localSheetId="2">#REF!</definedName>
    <definedName name="RES_CPS" localSheetId="0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'[10]Serviços'!$A:$I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 localSheetId="2">#REF!</definedName>
    <definedName name="SUCCAO" localSheetId="0">#REF!</definedName>
    <definedName name="SUCCAO">#REF!</definedName>
    <definedName name="SUCCAO___0" localSheetId="2">#REF!</definedName>
    <definedName name="SUCCAO___0" localSheetId="0">#REF!</definedName>
    <definedName name="SUCCAO___0">#REF!</definedName>
    <definedName name="SUCCAO___2" localSheetId="2">#REF!</definedName>
    <definedName name="SUCCAO___2" localSheetId="0">#REF!</definedName>
    <definedName name="SUCCAO___2">#REF!</definedName>
    <definedName name="TABELA" localSheetId="2">#REF!</definedName>
    <definedName name="TABELA" localSheetId="0">#REF!</definedName>
    <definedName name="TABELA">#REF!</definedName>
    <definedName name="tabtubo" localSheetId="2">#REF!</definedName>
    <definedName name="tabtubo" localSheetId="0">#REF!</definedName>
    <definedName name="tabtubo">#REF!</definedName>
    <definedName name="tabtubo___0" localSheetId="2">#REF!</definedName>
    <definedName name="tabtubo___0" localSheetId="0">#REF!</definedName>
    <definedName name="tabtubo___0">#REF!</definedName>
    <definedName name="tabtubo___2" localSheetId="2">#REF!</definedName>
    <definedName name="tabtubo___2" localSheetId="0">#REF!</definedName>
    <definedName name="tabtubo___2">#REF!</definedName>
    <definedName name="TABTUBOMM" localSheetId="2">#REF!</definedName>
    <definedName name="TABTUBOMM" localSheetId="0">#REF!</definedName>
    <definedName name="TABTUBOMM">#REF!</definedName>
    <definedName name="TABTUBOMM___0" localSheetId="2">#REF!</definedName>
    <definedName name="TABTUBOMM___0" localSheetId="0">#REF!</definedName>
    <definedName name="TABTUBOMM___0">#REF!</definedName>
    <definedName name="TABTUBOMM___2" localSheetId="2">#REF!</definedName>
    <definedName name="TABTUBOMM___2" localSheetId="0">#REF!</definedName>
    <definedName name="TABTUBOMM___2">#REF!</definedName>
    <definedName name="Texto1" localSheetId="0">'ORÇAMENTO'!#REF!</definedName>
    <definedName name="Texto10" localSheetId="0">'ORÇAMENTO'!#REF!</definedName>
    <definedName name="Texto12" localSheetId="0">'ORÇAMENTO'!#REF!</definedName>
    <definedName name="Texto13" localSheetId="0">'ORÇAMENTO'!#REF!</definedName>
    <definedName name="Texto14" localSheetId="0">'ORÇAMENTO'!#REF!</definedName>
    <definedName name="Texto15" localSheetId="0">'ORÇAMENTO'!#REF!</definedName>
    <definedName name="Texto16" localSheetId="0">'ORÇAMENTO'!#REF!</definedName>
    <definedName name="Texto2" localSheetId="0">'ORÇAMENTO'!#REF!</definedName>
    <definedName name="Texto3" localSheetId="0">'ORÇAMENTO'!#REF!</definedName>
    <definedName name="Texto4" localSheetId="0">'ORÇAMENTO'!#REF!</definedName>
    <definedName name="Texto42" localSheetId="0">'ORÇAMENTO'!#REF!</definedName>
    <definedName name="Texto43" localSheetId="0">'ORÇAMENTO'!#REF!</definedName>
    <definedName name="Texto5" localSheetId="0">'ORÇAMENTO'!#REF!</definedName>
    <definedName name="Texto7" localSheetId="0">'ORÇAMENTO'!#REF!</definedName>
    <definedName name="Texto8" localSheetId="0">'ORÇAMENTO'!#REF!</definedName>
    <definedName name="Texto9" localSheetId="0">'ORÇAMENTO'!#REF!</definedName>
    <definedName name="_xlnm.Print_Titles" localSheetId="0">'ORÇAMENTO'!$1:$8</definedName>
    <definedName name="total" localSheetId="2">#REF!</definedName>
    <definedName name="total" localSheetId="0">#REF!</definedName>
    <definedName name="total">#REF!</definedName>
    <definedName name="Tubos_PRFV" localSheetId="2">#REF!</definedName>
    <definedName name="Tubos_PRFV" localSheetId="0">#REF!</definedName>
    <definedName name="Tubos_PRFV">#REF!</definedName>
    <definedName name="Tubos_PRFV___0" localSheetId="2">#REF!</definedName>
    <definedName name="Tubos_PRFV___0" localSheetId="0">#REF!</definedName>
    <definedName name="Tubos_PRFV___0">#REF!</definedName>
    <definedName name="Tubos_PRFV___2" localSheetId="2">#REF!</definedName>
    <definedName name="Tubos_PRFV___2" localSheetId="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 localSheetId="2">#REF!</definedName>
    <definedName name="vasos.xlx" localSheetId="0">#REF!</definedName>
    <definedName name="vasos.xlx">#REF!</definedName>
    <definedName name="VAZAO" localSheetId="2">#REF!</definedName>
    <definedName name="VAZAO" localSheetId="0">#REF!</definedName>
    <definedName name="VAZAO">#REF!</definedName>
    <definedName name="VAZAO___0" localSheetId="2">#REF!</definedName>
    <definedName name="VAZAO___0" localSheetId="0">#REF!</definedName>
    <definedName name="VAZAO___0">#REF!</definedName>
    <definedName name="VAZAO___2" localSheetId="2">#REF!</definedName>
    <definedName name="VAZAO___2" localSheetId="0">#REF!</definedName>
    <definedName name="VAZAO___2">#REF!</definedName>
    <definedName name="VERIFICA_SI">#N/A</definedName>
    <definedName name="x" localSheetId="2">#REF!</definedName>
    <definedName name="x" localSheetId="0">#REF!</definedName>
    <definedName name="x">#REF!</definedName>
    <definedName name="Z" localSheetId="2">#REF!</definedName>
    <definedName name="Z" localSheetId="0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<sst xmlns="http://schemas.openxmlformats.org/spreadsheetml/2006/main" count="461" uniqueCount="148">
  <si>
    <t>SICRO</t>
  </si>
  <si>
    <t>SINAPI</t>
  </si>
  <si>
    <t>1.1</t>
  </si>
  <si>
    <t>2.1</t>
  </si>
  <si>
    <t>3.1</t>
  </si>
  <si>
    <t>4.2</t>
  </si>
  <si>
    <t>PREFEITURA MUNICIPAL DE TIMBÓ</t>
  </si>
  <si>
    <t>PAVIMENTAÇÃO E QUALIFICAÇÃO DE VIAS URBANAS - 2ª ETAPA (PAC 02)</t>
  </si>
  <si>
    <t>PROJETO DE IMPLANTAÇÃO DO ANEL VIÁRIO – RUA ARAPONGUINHAS</t>
  </si>
  <si>
    <t>ITEM</t>
  </si>
  <si>
    <t>REFER.</t>
  </si>
  <si>
    <t>CÓDIGO</t>
  </si>
  <si>
    <t>DESCRIÇÃO DOS SERVIÇOS</t>
  </si>
  <si>
    <t>UNID.</t>
  </si>
  <si>
    <t>QUANT.</t>
  </si>
  <si>
    <t>Comp. Unit.</t>
  </si>
  <si>
    <t>PLANILHA DE ORÇAMENTO</t>
  </si>
  <si>
    <t>CUSTO UNIT. (R$)</t>
  </si>
  <si>
    <t>VALOR TOTAL (R$)</t>
  </si>
  <si>
    <t>TOTAL DO ITEM</t>
  </si>
  <si>
    <t>LOTE 05 - PROJETO DE ACESSOS A PONTE SOBRE O RIO BENEDITO INTERSEÇÃO 02</t>
  </si>
  <si>
    <t>LOTE 05 - PROJETO DE ACESSOS A PONTE SOBRE O RIO BENEDITO "ROTATORIA RUA BLUMENAU"</t>
  </si>
  <si>
    <t>74209/001</t>
  </si>
  <si>
    <t xml:space="preserve"> </t>
  </si>
  <si>
    <t xml:space="preserve">PROJETO : </t>
  </si>
  <si>
    <t>ETAPAS</t>
  </si>
  <si>
    <t>VALOR</t>
  </si>
  <si>
    <t>%</t>
  </si>
  <si>
    <t>30 DIAS</t>
  </si>
  <si>
    <t>TOTAL</t>
  </si>
  <si>
    <t>R$ Total</t>
  </si>
  <si>
    <t>R$</t>
  </si>
  <si>
    <t>VALOR TOTAL</t>
  </si>
  <si>
    <t>VALOR ACUM. PARCIAL</t>
  </si>
  <si>
    <t>VALOR ACUM. GLOBAL</t>
  </si>
  <si>
    <t>CRONOGRAMA GERAL</t>
  </si>
  <si>
    <t>COMPOSIÇÃO DE PREÇO UNITÁRIA</t>
  </si>
  <si>
    <t>TIPO</t>
  </si>
  <si>
    <t>DESCRIÇÃO</t>
  </si>
  <si>
    <t>UNID</t>
  </si>
  <si>
    <t>CUSTO</t>
  </si>
  <si>
    <t>CUSTO UNIT.</t>
  </si>
  <si>
    <t>REFERÊNCIA</t>
  </si>
  <si>
    <t>Sinapi</t>
  </si>
  <si>
    <t>PREÇO UNITÁRIO ADOTADO (SEM BDI)/MÊS</t>
  </si>
  <si>
    <t>E9093</t>
  </si>
  <si>
    <t>1.2</t>
  </si>
  <si>
    <t>1.3</t>
  </si>
  <si>
    <t>PEDREIRO COM ENCARGOS COMPLEMENTARES</t>
  </si>
  <si>
    <t xml:space="preserve">TOTAL GLOBAL DOS SERVIÇOS </t>
  </si>
  <si>
    <t>BDI DE SERVIÇOS</t>
  </si>
  <si>
    <t>SERVENTE COM ENCARGOS COMPLEMENTARES</t>
  </si>
  <si>
    <t>M2</t>
  </si>
  <si>
    <t>M3</t>
  </si>
  <si>
    <t>H</t>
  </si>
  <si>
    <t>PREÇO UNIT.  (R$)</t>
  </si>
  <si>
    <t>EXECUÇÃO DE DEPÓSITO EM CANTEIRO DE OBRA EM CHAPA DE MADEIRA COMPENSADA, NÃO INCLUSO MOBILIÁRIO. AF_04/2016</t>
  </si>
  <si>
    <t>DRENAGEM</t>
  </si>
  <si>
    <t>PROJETO PISTA DE ATLETISMO</t>
  </si>
  <si>
    <t>ADMINISTRAÇÃO LOCAL</t>
  </si>
  <si>
    <t>PLACA DE OBRA EM CHAPA DE AÇO GALVANIZADO</t>
  </si>
  <si>
    <t>ARMAÇÃO DE PILAR OU VIGA DE UMA ESTRUTURA CONVENCIONAL DE CONCRETO ARMADO EM UMA EDIFICAÇÃO TÉRREA OU SOBRADO UTILIZANDO AÇO CA-50 DE 10,0 MM - MONTAGEM. AF_12/2015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</si>
  <si>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</t>
    </r>
  </si>
  <si>
    <t xml:space="preserve">DRENAGEM SUPERFICIAL </t>
  </si>
  <si>
    <t>FABRICAÇÃO, MONTAGEM E DESMONTAGEM DE FÔRMA PARA VIGA BALDRAME, EM MADEIRA SERRADA, E=25 MM, 4 UTILIZAÇÕES. AF_06/2017</t>
  </si>
  <si>
    <t>CONCRETO USINADO BOMBEAVEL, CLASSE DE RESISTENCIA C25, COM BRITA 0 E 1, SLUMP = M3 256,06
100 +/- 20 MM, EXCLUI SERVICO DE BOMBEAMENTO (NBR 8953)</t>
  </si>
  <si>
    <t>VIBRADOR DE IMERSÃO, DIÂMETRO DE PONTEIRA 45MM, MOTOR ELÉTRICO TRIFÁSICO POTÊNCIA DE 2 CV - CHP DIURNO. AF_06/2015</t>
  </si>
  <si>
    <t>CHP</t>
  </si>
  <si>
    <t>VIBRADOR DE IMERSÃO, DIÂMETRO DE PONTEIRA 45MM, MOTOR ELÉTRICO TRIFÁSICO POTÊNCIA DE 2 CV - CHI DIURNO. AF_06/2015</t>
  </si>
  <si>
    <t>CHI</t>
  </si>
  <si>
    <t>ARMAÇÃO DE PILAR OU VIGA DE UMA ESTRUTURA CONVENCIONAL DE CONCRETO ARMADO EM UMA EDIFICAÇÃO TÉRREA OU SOBRADO UTILIZANDO AÇO CA-50 DE 8,0 MM - MONTAGEM. AF_12/2015</t>
  </si>
  <si>
    <t>PEDRA BRITADA N. 2 (19 A 38 MM) POSTO PEDREIRA/FORNECEDOR, SEM FRETE</t>
  </si>
  <si>
    <t>PLANILHA DE ORÇAMENTO - PISTA DE ATLETISMO</t>
  </si>
  <si>
    <t>LASTRO COM MATERIAL GRANULAR</t>
  </si>
  <si>
    <t>CONCRETAGEM CONCRETO FCK 20 MPA - LANÇAMENTO, ADENSAMENTO E ACABAMENTO</t>
  </si>
  <si>
    <t>ARMAÇÃO EM TELA DE AÇO SOLDADA NERVURADA Q-138, AÇO CA-60, 4,2 mm, MALHA 10X10cm.</t>
  </si>
  <si>
    <t>FABRICAÇÃO DE FÔRMA PARA VIGAS, COM MADEIRA SERRADA, E = 25 MM. AF_12/ M2 CR 86,81
2015</t>
  </si>
  <si>
    <t>CAIXA DE INSPEÇÃO DE CONCRETO</t>
  </si>
  <si>
    <t>POÇO DE VISITA DE CONCRETO</t>
  </si>
  <si>
    <t>LASTRO DE CONCRETO MAGRO</t>
  </si>
  <si>
    <t>EMBOÇO OU MASSA ÚNICA EM ARGAMASSA TRAÇO 1:2:8, PREPARO MECÂNICO COM B ETONEIRA 400 L, APLICADA MANUALMENTE EM PANOS CEGOS DE FACHADA (SEM PRESENÇA DE VÃOS), ESPESSURA DE 25 MM. AF_06/2014</t>
  </si>
  <si>
    <t>REGULARIZAÇÕES E PAVIMENTAÇÕES</t>
  </si>
  <si>
    <t>LONA PLASTICA PRETA, E= 150 MICRA</t>
  </si>
  <si>
    <t>SARRAFO DE MADEIRA NAO APARELHADA *2,5 X 7,5* CM (1 X 3 ") PINUS, MISTA OU EQUIVALENTE DA REGIAO</t>
  </si>
  <si>
    <t>M</t>
  </si>
  <si>
    <t>TABUA DE MADEIRA NAO APARELHADA *2,5 X 30* CM, CEDRINHO OU EQUIVALENTE DA REGIAO</t>
  </si>
  <si>
    <t>TELA DE ACO SOLDADA NERVURADA, CA-60, Q-196, (3,11 KG/M2), DIAMETRO DO FIO = 5,0 MM, LARGURA =  2,45 M, ESPACAMENTO DA MALHA = 10 X 10 CM</t>
  </si>
  <si>
    <t>CARPINTEIRO DE FORMAS COM ENCARGOS COMPLEMENTARES</t>
  </si>
  <si>
    <t>CONCRETO USINADO BOMBEAVEL, CLASSE DE RESISTENCIA C25, COM BRITA 0 E 1, SLUMP
100 +/- 20 MM, EXCLUI SERVICO DE BOMBEAMENTO (NBR 8953)</t>
  </si>
  <si>
    <t>EXECUÇÃO DE PISO DE CONCRETO COM CONCRETO MOLDADO IN LOCO, FEITO EM OBRA, ACABAMENTO CONVENCIONAL, ESPESSURA 12 CM, ARMADO</t>
  </si>
  <si>
    <t>PAVIMENTAÇÕES E REVESTIMENTOS DAS PISTAS</t>
  </si>
  <si>
    <t>EMBOÇO OU MASSA ÚNICA EM ARGAMASSA TRAÇO 1:2:8, PREPARO MECÂNICO COM BETONEIRA 400 L, APLICADA MANUALMENTE EM PANOS CEGOS DE FACHADA (SEM PR
ESENÇA DE VÃOS), ESPESSURA DE 25 MM. AF_06/2014</t>
  </si>
  <si>
    <t>CAMADA DRENANTE COM BRITA NUM 2</t>
  </si>
  <si>
    <t>FORNECIMENTO E INSTALACAO DE MANTA BIDIM RT - 14</t>
  </si>
  <si>
    <t>CAMADA DRENANTE COM AREIA MEDIA</t>
  </si>
  <si>
    <t xml:space="preserve">SINAPI - 04/2019  S/ Desoneração </t>
  </si>
  <si>
    <r>
      <t>SINAPI - 04/2019  S/ Desoneração 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Sicro 01/18 S/ Desoneração</t>
    </r>
  </si>
  <si>
    <t>ALVENARIA DE BLOCOS DE CONCRETO ESTRUTURAL 14X19X39 CM, (ESPESSURA 14
CM) FBK = 14,0 MPA, PARA PAREDES COM ÁREA LÍQUIDA MENOR QUE 6M²
, SEM VÃOS, UTILIZANDO COLHER DE PEDREIRO. AF_12/2014</t>
  </si>
  <si>
    <t>M0003</t>
  </si>
  <si>
    <t>IMPERMEABILIZAÇÃO DE SUPERFÍCIE COM EMULSÃO ASFÁLTICA, 2 DEMÃOS AF_06/2018</t>
  </si>
  <si>
    <t>TABUA DE MADEIRA NAO APARELHADA *2,5 X 23* CM (1 x 9 ") PINUS, MISTA OU EQUIVALENTE M 3,56
DA REGIAO</t>
  </si>
  <si>
    <t>TABUA DE MADEIRA NAO APARELHADA *2,5 X 30 CM (1 X 12 ") PINUS, MISTA OU EQUIVALENTE DA REGIAO</t>
  </si>
  <si>
    <t>FABRICAÇÃO DE FÔRMA PARA VIGAS, COM MADEIRA SERRADA, E = 25 MM. AF_12/2015</t>
  </si>
  <si>
    <t>MÊS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</si>
  <si>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MÊS</t>
    </r>
  </si>
  <si>
    <t>UIND</t>
  </si>
  <si>
    <t>CANALETA DE CONCRETO ARMADO (65X70CM) FCK=25 MPA</t>
  </si>
  <si>
    <t>KG</t>
  </si>
  <si>
    <t>EQUIPE DE CONDUÇÃO DE OBRAS</t>
  </si>
  <si>
    <t>ENGENHEIRO CIVIL DE OBRA JÚNIOR COM ENCARGOS COMPLEMENTARES</t>
  </si>
  <si>
    <t xml:space="preserve"> TOPÓGRAFO COM ENCARGOS COMPLEMENTARES </t>
  </si>
  <si>
    <t>ENCARREGADO GERAL COM ENCARGOS COMPLEMENTARES</t>
  </si>
  <si>
    <t>LOCOMOÇÃO DE PESSOAL ADMINISTRATIVO</t>
  </si>
  <si>
    <t>VEÍCULO LEVE - 53 KW (SEM MOTORISTA)</t>
  </si>
  <si>
    <t>VIGA EM CONCRETO ARMADO (15X65CM) - FCK = 25 MPA</t>
  </si>
  <si>
    <t>TRELIÇA NERVURADA TRÊS BARRAS LONGITUDINAIS INTERLIGADAS POR DUAS DIAGONAIS SINUSOIDAL - FORNECIMENTO E INSTALAÇÃO</t>
  </si>
  <si>
    <t>AÇO CA 25 - PARA BARRAS DE TRANSFERÊNCIA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</si>
  <si>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M2</t>
    </r>
  </si>
  <si>
    <t>BERÇO PARA TUBULAÇÃO DE CONCRETO DIÂMETRO 600 MM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</si>
  <si>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</t>
    </r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</si>
  <si>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UNID</t>
    </r>
  </si>
  <si>
    <t>BERÇO PARA TUBULAÇÃO DE CONCRETO DIÂMETRO 300mm</t>
  </si>
  <si>
    <t>QUANTITATIVO E ORÇAMENTO ESTIMATIVO</t>
  </si>
  <si>
    <t>CRONOGRAMA FÍSICO-FINANCEIRO</t>
  </si>
  <si>
    <t>DATA:</t>
  </si>
  <si>
    <t>JUNHO / 2019</t>
  </si>
  <si>
    <t>ADMINISTRAÇÃO LOCAL E SERVIÇOS PRELIMINARES</t>
  </si>
  <si>
    <t>2.1.1</t>
  </si>
  <si>
    <t>CAIXA DE AREIA DO SALTO EM DISTÂNCIA (8,00X3,00 M)</t>
  </si>
  <si>
    <t>CAIXA DE AREIA DO SALTO EM ALTURA (6,44X4,96 M)</t>
  </si>
  <si>
    <t>2.1.2</t>
  </si>
  <si>
    <t>GRELHA DE FERRO FUNDIDO PARA CANALETA LARG= 40 CM, FORNECIMENTO E ASSENTAMENTO</t>
  </si>
  <si>
    <t>RÉGUA VIBRATÓRIA DUPLA PARA CONCRETO</t>
  </si>
  <si>
    <t>3.1.1</t>
  </si>
  <si>
    <t>3.1.2</t>
  </si>
  <si>
    <t>4.2.1</t>
  </si>
  <si>
    <t>4.2.2</t>
  </si>
  <si>
    <t>CAIXA COLETORA DE AREIA DO SALTO EM DISTÂNCIA (8,00 X 3,00 M)</t>
  </si>
  <si>
    <t>CAIXA COLETORA DE AREIA DO SALTO EM DISTÂNCIA (6,44 X 4,96 M)</t>
  </si>
  <si>
    <t>CAIXAS DE AREIA</t>
  </si>
  <si>
    <t>OBS: SINAPI SC 07/19 NÃO DESONERADA E SICRO SEM DESONERAÇÃO SC 10/18</t>
  </si>
  <si>
    <t>15 DIAS</t>
  </si>
  <si>
    <t xml:space="preserve"> ARMAÇÃO DE PILAR OU VIGA DE UMA ESTRUTURA CONVENCIONAL DE CONCRETO ARM 
ADO EM UMA EDIFICAÇÃO TÉRREA OU SOBRADO UTILIZANDO AÇO CA-60 DE 5,0 MM
- MONTAGEM. AF_12/2015</t>
  </si>
  <si>
    <t>GRELHA DE FERRO FUNDIDO PARA CANALETA LARG = 45CM, FORNECIMENTO E ASSENTAMENTO</t>
  </si>
  <si>
    <t>GRELHA FOFO SIMPLES COM REQUADRO, CARGA MAXIMA  12,5 T, *450 X 1000* MM, E= *15* MM, AREA ESTACIONAMENTO CARRO PASSEIO</t>
  </si>
  <si>
    <t>OBS: ORÇAMENTO ELABORADO NA DATA DE 13/08/2019</t>
  </si>
  <si>
    <t>FABRICAÇÃO, MONTAGEM E DESMONTAGEM DE FORMA PARA VIGA BALDRAME, EM MADEIRA SERRADA, E=25 MM,2 UTILIZAÇÕES. AF_06/2017</t>
  </si>
  <si>
    <t>FABRICAÇÃO, MONTAGEM E DESMONTAGEM DE FÔRMA PARA VIGA BALDRAME, EM MADEIRA SERRADA, E=25 MM, 2 UTILIZAÇÕES. AF_06/2017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</si>
</sst>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Sim&quot;;&quot;Sim&quot;;&quot;Não&quot;"/>
    <numFmt numFmtId="167" formatCode="_(&quot;R$ &quot;* #,##0.00_);_(&quot;R$ &quot;* \(#,##0.00\);_(&quot;R$ &quot;* &quot;-&quot;??_);_(@_)"/>
    <numFmt numFmtId="168" formatCode="&quot;R$&quot;\ #,##0.00"/>
    <numFmt numFmtId="169" formatCode="#,##0.0000"/>
    <numFmt numFmtId="170" formatCode="0.000"/>
    <numFmt numFmtId="171" formatCode="0.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Swis721 Ex BT"/>
      <family val="2"/>
    </font>
    <font>
      <sz val="8"/>
      <name val="Swis721 Ex BT"/>
      <family val="2"/>
    </font>
    <font>
      <b/>
      <sz val="18"/>
      <name val="Swis721 Ex BT"/>
      <family val="2"/>
    </font>
    <font>
      <sz val="14"/>
      <name val="Swis721 Ex BT"/>
      <family val="2"/>
    </font>
    <font>
      <b/>
      <sz val="14"/>
      <name val="Swis721 Ex BT"/>
      <family val="2"/>
    </font>
    <font>
      <sz val="11"/>
      <name val="Swis721 Ex BT"/>
      <family val="2"/>
    </font>
    <font>
      <b/>
      <sz val="11"/>
      <name val="Swis721 Ex BT"/>
      <family val="2"/>
    </font>
    <font>
      <b/>
      <sz val="9"/>
      <color indexed="8"/>
      <name val="Swis721 Ex BT"/>
      <family val="2"/>
    </font>
    <font>
      <sz val="9"/>
      <name val="Swis721 Ex BT"/>
      <family val="2"/>
    </font>
    <font>
      <b/>
      <sz val="9"/>
      <name val="Swis721 Ex BT"/>
      <family val="2"/>
    </font>
    <font>
      <b/>
      <sz val="7"/>
      <name val="Swis721 Ex BT"/>
      <family val="2"/>
    </font>
    <font>
      <sz val="7"/>
      <name val="Swis721 Ex BT"/>
      <family val="2"/>
    </font>
    <font>
      <sz val="10"/>
      <color indexed="10"/>
      <name val="Swis721 Ex BT"/>
      <family val="2"/>
    </font>
    <font>
      <b/>
      <sz val="10"/>
      <name val="Swis721 Ex BT"/>
      <family val="2"/>
    </font>
    <font>
      <sz val="12"/>
      <name val="Swis721 Ex BT"/>
      <family val="2"/>
    </font>
    <font>
      <b/>
      <i/>
      <sz val="9"/>
      <color indexed="56"/>
      <name val="Swis721 Ex BT"/>
      <family val="2"/>
    </font>
    <font>
      <b/>
      <i/>
      <sz val="9"/>
      <name val="Swis721 Ex BT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Arial"/>
      <family val="2"/>
    </font>
    <font>
      <b/>
      <sz val="11"/>
      <name val="Calibri"/>
      <family val="2"/>
    </font>
    <font>
      <b/>
      <sz val="12"/>
      <name val="Swis721 Ex BT"/>
      <family val="2"/>
    </font>
    <font>
      <b/>
      <sz val="12"/>
      <color indexed="9"/>
      <name val="Swis721 Ex BT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002060"/>
      <name val="Swis721 Ex BT"/>
      <family val="2"/>
    </font>
    <font>
      <sz val="10"/>
      <color rgb="FF00B050"/>
      <name val="Arial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0"/>
      <name val="Swis721 Ex BT"/>
      <family val="2"/>
    </font>
    <font>
      <sz val="10"/>
      <color rgb="FFFF0000"/>
      <name val="Swis721 Ex BT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127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127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64" fontId="5" fillId="0" borderId="0" xfId="127" applyFont="1" applyFill="1" applyBorder="1" applyAlignment="1">
      <alignment/>
    </xf>
    <xf numFmtId="164" fontId="7" fillId="0" borderId="0" xfId="127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43" fontId="11" fillId="0" borderId="0" xfId="0" applyNumberFormat="1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164" fontId="10" fillId="33" borderId="10" xfId="127" applyFont="1" applyFill="1" applyBorder="1" applyAlignment="1">
      <alignment vertical="center"/>
    </xf>
    <xf numFmtId="164" fontId="11" fillId="33" borderId="10" xfId="127" applyFont="1" applyFill="1" applyBorder="1" applyAlignment="1">
      <alignment vertical="center"/>
    </xf>
    <xf numFmtId="0" fontId="11" fillId="33" borderId="0" xfId="0" applyFont="1" applyFill="1" applyAlignment="1">
      <alignment horizontal="right"/>
    </xf>
    <xf numFmtId="164" fontId="2" fillId="0" borderId="0" xfId="127" applyFont="1" applyFill="1" applyBorder="1" applyAlignment="1">
      <alignment/>
    </xf>
    <xf numFmtId="0" fontId="68" fillId="0" borderId="10" xfId="0" applyFont="1" applyBorder="1" applyAlignment="1">
      <alignment horizontal="left" vertical="center"/>
    </xf>
    <xf numFmtId="0" fontId="10" fillId="1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center" vertical="center" wrapText="1"/>
    </xf>
    <xf numFmtId="164" fontId="10" fillId="14" borderId="10" xfId="127" applyFont="1" applyFill="1" applyBorder="1" applyAlignment="1">
      <alignment horizontal="center" vertical="center"/>
    </xf>
    <xf numFmtId="164" fontId="10" fillId="14" borderId="10" xfId="130" applyFont="1" applyFill="1" applyBorder="1" applyAlignment="1">
      <alignment horizontal="center" vertical="center"/>
    </xf>
    <xf numFmtId="164" fontId="11" fillId="0" borderId="10" xfId="13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14" borderId="0" xfId="0" applyFont="1" applyFill="1" applyAlignment="1">
      <alignment horizontal="right"/>
    </xf>
    <xf numFmtId="0" fontId="5" fillId="34" borderId="0" xfId="62" applyFont="1" applyFill="1" applyAlignment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127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left"/>
    </xf>
    <xf numFmtId="44" fontId="0" fillId="0" borderId="10" xfId="45" applyFont="1" applyBorder="1" applyAlignment="1">
      <alignment horizontal="center"/>
    </xf>
    <xf numFmtId="44" fontId="22" fillId="0" borderId="10" xfId="45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3" fillId="0" borderId="0" xfId="127" applyFont="1" applyFill="1" applyBorder="1" applyAlignment="1">
      <alignment vertical="center"/>
    </xf>
    <xf numFmtId="164" fontId="2" fillId="0" borderId="0" xfId="95" applyFont="1" applyFill="1" applyAlignment="1">
      <alignment/>
    </xf>
    <xf numFmtId="0" fontId="5" fillId="0" borderId="0" xfId="62" applyFont="1" applyFill="1" applyAlignment="1">
      <alignment vertical="center"/>
      <protection/>
    </xf>
    <xf numFmtId="164" fontId="10" fillId="0" borderId="10" xfId="13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35" borderId="0" xfId="0" applyFont="1" applyFill="1" applyAlignment="1">
      <alignment/>
    </xf>
    <xf numFmtId="0" fontId="69" fillId="14" borderId="0" xfId="0" applyFont="1" applyFill="1" applyAlignment="1">
      <alignment/>
    </xf>
    <xf numFmtId="0" fontId="69" fillId="0" borderId="0" xfId="0" applyFont="1" applyAlignment="1">
      <alignment/>
    </xf>
    <xf numFmtId="0" fontId="67" fillId="35" borderId="10" xfId="67" applyFont="1" applyFill="1" applyBorder="1" applyAlignment="1">
      <alignment horizontal="center"/>
      <protection/>
    </xf>
    <xf numFmtId="0" fontId="67" fillId="35" borderId="10" xfId="67" applyFont="1" applyFill="1" applyBorder="1">
      <alignment/>
      <protection/>
    </xf>
    <xf numFmtId="4" fontId="67" fillId="35" borderId="10" xfId="67" applyNumberFormat="1" applyFont="1" applyFill="1" applyBorder="1" applyAlignment="1">
      <alignment horizontal="center"/>
      <protection/>
    </xf>
    <xf numFmtId="0" fontId="27" fillId="35" borderId="11" xfId="67" applyFont="1" applyFill="1" applyBorder="1" applyAlignment="1">
      <alignment horizontal="center"/>
      <protection/>
    </xf>
    <xf numFmtId="0" fontId="27" fillId="35" borderId="10" xfId="67" applyFont="1" applyFill="1" applyBorder="1" applyAlignment="1">
      <alignment horizontal="center"/>
      <protection/>
    </xf>
    <xf numFmtId="2" fontId="27" fillId="35" borderId="10" xfId="67" applyNumberFormat="1" applyFont="1" applyFill="1" applyBorder="1">
      <alignment/>
      <protection/>
    </xf>
    <xf numFmtId="4" fontId="27" fillId="35" borderId="10" xfId="67" applyNumberFormat="1" applyFont="1" applyFill="1" applyBorder="1">
      <alignment/>
      <protection/>
    </xf>
    <xf numFmtId="2" fontId="27" fillId="35" borderId="12" xfId="67" applyNumberFormat="1" applyFont="1" applyFill="1" applyBorder="1">
      <alignment/>
      <protection/>
    </xf>
    <xf numFmtId="0" fontId="51" fillId="0" borderId="13" xfId="67" applyBorder="1">
      <alignment/>
      <protection/>
    </xf>
    <xf numFmtId="164" fontId="10" fillId="33" borderId="10" xfId="127" applyFont="1" applyFill="1" applyBorder="1" applyAlignment="1">
      <alignment horizontal="right" vertical="center"/>
    </xf>
    <xf numFmtId="0" fontId="10" fillId="14" borderId="0" xfId="0" applyFont="1" applyFill="1" applyAlignment="1">
      <alignment horizontal="right"/>
    </xf>
    <xf numFmtId="164" fontId="10" fillId="14" borderId="10" xfId="127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right" vertical="center" wrapText="1"/>
    </xf>
    <xf numFmtId="0" fontId="27" fillId="0" borderId="10" xfId="67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43" fontId="10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 horizontal="right"/>
    </xf>
    <xf numFmtId="164" fontId="11" fillId="0" borderId="14" xfId="130" applyFont="1" applyBorder="1" applyAlignment="1">
      <alignment horizontal="center" vertical="center"/>
    </xf>
    <xf numFmtId="164" fontId="10" fillId="14" borderId="14" xfId="127" applyFont="1" applyFill="1" applyBorder="1" applyAlignment="1">
      <alignment horizontal="center" vertical="center"/>
    </xf>
    <xf numFmtId="164" fontId="10" fillId="0" borderId="14" xfId="127" applyFont="1" applyBorder="1" applyAlignment="1">
      <alignment horizontal="center" vertical="center"/>
    </xf>
    <xf numFmtId="164" fontId="11" fillId="33" borderId="14" xfId="127" applyFont="1" applyFill="1" applyBorder="1" applyAlignment="1">
      <alignment vertical="center"/>
    </xf>
    <xf numFmtId="164" fontId="11" fillId="0" borderId="14" xfId="127" applyFont="1" applyBorder="1" applyAlignment="1">
      <alignment horizontal="center" vertical="center"/>
    </xf>
    <xf numFmtId="164" fontId="10" fillId="0" borderId="0" xfId="127" applyFont="1" applyFill="1" applyBorder="1" applyAlignment="1">
      <alignment horizontal="right"/>
    </xf>
    <xf numFmtId="164" fontId="10" fillId="14" borderId="0" xfId="13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64" fontId="10" fillId="0" borderId="0" xfId="130" applyFont="1" applyFill="1" applyBorder="1" applyAlignment="1">
      <alignment horizontal="center" vertical="center"/>
    </xf>
    <xf numFmtId="164" fontId="10" fillId="35" borderId="0" xfId="127" applyFont="1" applyFill="1" applyBorder="1" applyAlignment="1">
      <alignment horizontal="right"/>
    </xf>
    <xf numFmtId="164" fontId="10" fillId="14" borderId="15" xfId="127" applyFont="1" applyFill="1" applyBorder="1" applyAlignment="1">
      <alignment horizontal="center" vertical="center"/>
    </xf>
    <xf numFmtId="164" fontId="10" fillId="35" borderId="15" xfId="127" applyFont="1" applyFill="1" applyBorder="1" applyAlignment="1">
      <alignment horizontal="center" vertical="center"/>
    </xf>
    <xf numFmtId="164" fontId="10" fillId="0" borderId="15" xfId="127" applyFont="1" applyBorder="1" applyAlignment="1">
      <alignment horizontal="center" vertical="center"/>
    </xf>
    <xf numFmtId="164" fontId="10" fillId="33" borderId="15" xfId="127" applyFont="1" applyFill="1" applyBorder="1" applyAlignment="1">
      <alignment vertical="center"/>
    </xf>
    <xf numFmtId="164" fontId="11" fillId="0" borderId="15" xfId="127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67" fillId="0" borderId="16" xfId="67" applyFont="1" applyFill="1" applyBorder="1">
      <alignment/>
      <protection/>
    </xf>
    <xf numFmtId="0" fontId="51" fillId="0" borderId="17" xfId="67" applyFill="1" applyBorder="1">
      <alignment/>
      <protection/>
    </xf>
    <xf numFmtId="0" fontId="51" fillId="0" borderId="17" xfId="67" applyFont="1" applyFill="1" applyBorder="1" applyAlignment="1">
      <alignment horizontal="left"/>
      <protection/>
    </xf>
    <xf numFmtId="0" fontId="51" fillId="0" borderId="17" xfId="67" applyFill="1" applyBorder="1" applyAlignment="1">
      <alignment horizontal="left"/>
      <protection/>
    </xf>
    <xf numFmtId="164" fontId="10" fillId="0" borderId="14" xfId="127" applyNumberFormat="1" applyFont="1" applyFill="1" applyBorder="1" applyAlignment="1">
      <alignment horizontal="center" vertical="center"/>
    </xf>
    <xf numFmtId="0" fontId="67" fillId="35" borderId="18" xfId="67" applyFont="1" applyFill="1" applyBorder="1" applyAlignment="1">
      <alignment horizontal="center"/>
      <protection/>
    </xf>
    <xf numFmtId="0" fontId="51" fillId="0" borderId="19" xfId="67" applyFill="1" applyBorder="1" applyAlignment="1">
      <alignment horizontal="left"/>
      <protection/>
    </xf>
    <xf numFmtId="0" fontId="27" fillId="35" borderId="20" xfId="67" applyFont="1" applyFill="1" applyBorder="1" applyAlignment="1">
      <alignment horizontal="center"/>
      <protection/>
    </xf>
    <xf numFmtId="0" fontId="27" fillId="35" borderId="20" xfId="67" applyNumberFormat="1" applyFont="1" applyFill="1" applyBorder="1" applyAlignment="1">
      <alignment horizontal="center"/>
      <protection/>
    </xf>
    <xf numFmtId="0" fontId="27" fillId="35" borderId="20" xfId="67" applyNumberFormat="1" applyFont="1" applyFill="1" applyBorder="1" applyAlignment="1">
      <alignment horizontal="right"/>
      <protection/>
    </xf>
    <xf numFmtId="0" fontId="27" fillId="35" borderId="10" xfId="67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vertical="center" wrapText="1"/>
    </xf>
    <xf numFmtId="0" fontId="27" fillId="35" borderId="20" xfId="67" applyNumberFormat="1" applyFont="1" applyFill="1" applyBorder="1" applyAlignment="1">
      <alignment vertical="center" wrapText="1"/>
      <protection/>
    </xf>
    <xf numFmtId="0" fontId="27" fillId="35" borderId="20" xfId="67" applyNumberFormat="1" applyFont="1" applyFill="1" applyBorder="1" applyAlignment="1">
      <alignment/>
      <protection/>
    </xf>
    <xf numFmtId="0" fontId="27" fillId="35" borderId="20" xfId="67" applyFont="1" applyFill="1" applyBorder="1" applyAlignment="1">
      <alignment/>
      <protection/>
    </xf>
    <xf numFmtId="0" fontId="27" fillId="35" borderId="20" xfId="67" applyNumberFormat="1" applyFont="1" applyFill="1" applyBorder="1" applyAlignment="1">
      <alignment wrapText="1"/>
      <protection/>
    </xf>
    <xf numFmtId="170" fontId="27" fillId="35" borderId="10" xfId="67" applyNumberFormat="1" applyFont="1" applyFill="1" applyBorder="1">
      <alignment/>
      <protection/>
    </xf>
    <xf numFmtId="171" fontId="27" fillId="35" borderId="20" xfId="67" applyNumberFormat="1" applyFont="1" applyFill="1" applyBorder="1" applyAlignment="1">
      <alignment horizontal="right"/>
      <protection/>
    </xf>
    <xf numFmtId="0" fontId="13" fillId="14" borderId="10" xfId="60" applyNumberFormat="1" applyFont="1" applyFill="1" applyBorder="1" applyAlignment="1">
      <alignment horizontal="center" vertical="center" wrapText="1"/>
      <protection/>
    </xf>
    <xf numFmtId="0" fontId="13" fillId="0" borderId="10" xfId="60" applyNumberFormat="1" applyFont="1" applyFill="1" applyBorder="1" applyAlignment="1">
      <alignment horizontal="center" vertical="center" wrapText="1"/>
      <protection/>
    </xf>
    <xf numFmtId="0" fontId="10" fillId="14" borderId="10" xfId="60" applyFont="1" applyFill="1" applyBorder="1" applyAlignment="1">
      <alignment horizontal="left" vertical="center" wrapText="1"/>
      <protection/>
    </xf>
    <xf numFmtId="0" fontId="10" fillId="14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7" fillId="0" borderId="21" xfId="67" applyFont="1" applyBorder="1">
      <alignment/>
      <protection/>
    </xf>
    <xf numFmtId="0" fontId="67" fillId="0" borderId="16" xfId="67" applyFont="1" applyBorder="1">
      <alignment/>
      <protection/>
    </xf>
    <xf numFmtId="0" fontId="51" fillId="0" borderId="17" xfId="67" applyBorder="1">
      <alignment/>
      <protection/>
    </xf>
    <xf numFmtId="0" fontId="0" fillId="35" borderId="17" xfId="0" applyFont="1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170" fontId="0" fillId="0" borderId="10" xfId="0" applyNumberFormat="1" applyFont="1" applyBorder="1" applyAlignment="1">
      <alignment horizontal="center"/>
    </xf>
    <xf numFmtId="0" fontId="67" fillId="0" borderId="24" xfId="67" applyFont="1" applyBorder="1">
      <alignment/>
      <protection/>
    </xf>
    <xf numFmtId="0" fontId="51" fillId="0" borderId="0" xfId="67" applyBorder="1">
      <alignment/>
      <protection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67" fillId="0" borderId="26" xfId="67" applyFont="1" applyBorder="1">
      <alignment/>
      <protection/>
    </xf>
    <xf numFmtId="0" fontId="51" fillId="0" borderId="27" xfId="67" applyBorder="1">
      <alignment/>
      <protection/>
    </xf>
    <xf numFmtId="0" fontId="67" fillId="35" borderId="28" xfId="67" applyFont="1" applyFill="1" applyBorder="1" applyAlignment="1">
      <alignment horizontal="center"/>
      <protection/>
    </xf>
    <xf numFmtId="0" fontId="67" fillId="35" borderId="28" xfId="67" applyFont="1" applyFill="1" applyBorder="1">
      <alignment/>
      <protection/>
    </xf>
    <xf numFmtId="4" fontId="67" fillId="35" borderId="28" xfId="67" applyNumberFormat="1" applyFont="1" applyFill="1" applyBorder="1" applyAlignment="1">
      <alignment horizontal="center"/>
      <protection/>
    </xf>
    <xf numFmtId="0" fontId="67" fillId="35" borderId="29" xfId="67" applyFont="1" applyFill="1" applyBorder="1" applyAlignment="1">
      <alignment horizontal="center"/>
      <protection/>
    </xf>
    <xf numFmtId="0" fontId="67" fillId="35" borderId="30" xfId="67" applyFont="1" applyFill="1" applyBorder="1" applyAlignment="1">
      <alignment horizontal="center" vertical="top"/>
      <protection/>
    </xf>
    <xf numFmtId="0" fontId="70" fillId="35" borderId="23" xfId="67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 horizontal="right"/>
    </xf>
    <xf numFmtId="0" fontId="27" fillId="35" borderId="31" xfId="67" applyFont="1" applyFill="1" applyBorder="1" applyAlignment="1">
      <alignment horizontal="center"/>
      <protection/>
    </xf>
    <xf numFmtId="0" fontId="27" fillId="35" borderId="10" xfId="67" applyNumberFormat="1" applyFont="1" applyFill="1" applyBorder="1" applyAlignment="1">
      <alignment wrapText="1"/>
      <protection/>
    </xf>
    <xf numFmtId="0" fontId="27" fillId="0" borderId="2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67" fillId="0" borderId="0" xfId="67" applyFont="1" applyBorder="1">
      <alignment/>
      <protection/>
    </xf>
    <xf numFmtId="0" fontId="67" fillId="0" borderId="32" xfId="67" applyFont="1" applyBorder="1">
      <alignment/>
      <protection/>
    </xf>
    <xf numFmtId="0" fontId="67" fillId="35" borderId="33" xfId="67" applyFont="1" applyFill="1" applyBorder="1" applyAlignment="1">
      <alignment horizontal="center" vertical="top"/>
      <protection/>
    </xf>
    <xf numFmtId="0" fontId="67" fillId="35" borderId="34" xfId="67" applyFont="1" applyFill="1" applyBorder="1" applyAlignment="1">
      <alignment horizontal="center" vertical="top"/>
      <protection/>
    </xf>
    <xf numFmtId="0" fontId="70" fillId="35" borderId="35" xfId="67" applyFont="1" applyFill="1" applyBorder="1" applyAlignment="1">
      <alignment horizontal="center" wrapText="1"/>
      <protection/>
    </xf>
    <xf numFmtId="0" fontId="71" fillId="35" borderId="34" xfId="67" applyFont="1" applyFill="1" applyBorder="1" applyAlignment="1">
      <alignment horizontal="center" vertical="top"/>
      <protection/>
    </xf>
    <xf numFmtId="49" fontId="20" fillId="0" borderId="0" xfId="0" applyNumberFormat="1" applyFont="1" applyAlignment="1">
      <alignment/>
    </xf>
    <xf numFmtId="164" fontId="11" fillId="0" borderId="15" xfId="130" applyFont="1" applyBorder="1" applyAlignment="1">
      <alignment horizontal="center" vertical="center"/>
    </xf>
    <xf numFmtId="164" fontId="10" fillId="14" borderId="14" xfId="130" applyNumberFormat="1" applyFont="1" applyFill="1" applyBorder="1" applyAlignment="1">
      <alignment horizontal="center" vertical="center"/>
    </xf>
    <xf numFmtId="164" fontId="10" fillId="14" borderId="15" xfId="130" applyFont="1" applyFill="1" applyBorder="1" applyAlignment="1">
      <alignment horizontal="center" vertical="center"/>
    </xf>
    <xf numFmtId="164" fontId="10" fillId="0" borderId="15" xfId="130" applyFont="1" applyFill="1" applyBorder="1" applyAlignment="1">
      <alignment horizontal="center" vertical="center"/>
    </xf>
    <xf numFmtId="164" fontId="10" fillId="0" borderId="14" xfId="130" applyNumberFormat="1" applyFont="1" applyFill="1" applyBorder="1" applyAlignment="1">
      <alignment horizontal="center" vertical="center"/>
    </xf>
    <xf numFmtId="0" fontId="69" fillId="36" borderId="0" xfId="0" applyFont="1" applyFill="1" applyAlignment="1">
      <alignment/>
    </xf>
    <xf numFmtId="0" fontId="67" fillId="0" borderId="18" xfId="67" applyFont="1" applyFill="1" applyBorder="1" applyAlignment="1">
      <alignment horizontal="center" vertical="top"/>
      <protection/>
    </xf>
    <xf numFmtId="0" fontId="70" fillId="0" borderId="29" xfId="67" applyFont="1" applyFill="1" applyBorder="1" applyAlignment="1">
      <alignment horizontal="center" wrapText="1"/>
      <protection/>
    </xf>
    <xf numFmtId="0" fontId="67" fillId="0" borderId="11" xfId="67" applyFont="1" applyFill="1" applyBorder="1" applyAlignment="1">
      <alignment horizontal="center"/>
      <protection/>
    </xf>
    <xf numFmtId="0" fontId="67" fillId="0" borderId="10" xfId="67" applyFont="1" applyFill="1" applyBorder="1" applyAlignment="1">
      <alignment horizontal="center"/>
      <protection/>
    </xf>
    <xf numFmtId="0" fontId="67" fillId="0" borderId="10" xfId="67" applyFont="1" applyFill="1" applyBorder="1">
      <alignment/>
      <protection/>
    </xf>
    <xf numFmtId="4" fontId="67" fillId="0" borderId="10" xfId="67" applyNumberFormat="1" applyFont="1" applyFill="1" applyBorder="1" applyAlignment="1">
      <alignment horizontal="center"/>
      <protection/>
    </xf>
    <xf numFmtId="0" fontId="67" fillId="0" borderId="12" xfId="67" applyFont="1" applyFill="1" applyBorder="1" applyAlignment="1">
      <alignment horizontal="center"/>
      <protection/>
    </xf>
    <xf numFmtId="0" fontId="30" fillId="0" borderId="11" xfId="67" applyFont="1" applyFill="1" applyBorder="1" applyAlignment="1">
      <alignment horizontal="center"/>
      <protection/>
    </xf>
    <xf numFmtId="0" fontId="30" fillId="0" borderId="10" xfId="67" applyFont="1" applyFill="1" applyBorder="1" applyAlignment="1">
      <alignment horizontal="center"/>
      <protection/>
    </xf>
    <xf numFmtId="0" fontId="27" fillId="0" borderId="10" xfId="67" applyFont="1" applyFill="1" applyBorder="1">
      <alignment/>
      <protection/>
    </xf>
    <xf numFmtId="4" fontId="30" fillId="0" borderId="10" xfId="67" applyNumberFormat="1" applyFont="1" applyFill="1" applyBorder="1" applyAlignment="1">
      <alignment horizontal="center"/>
      <protection/>
    </xf>
    <xf numFmtId="0" fontId="30" fillId="0" borderId="12" xfId="67" applyFont="1" applyFill="1" applyBorder="1" applyAlignment="1">
      <alignment horizontal="center"/>
      <protection/>
    </xf>
    <xf numFmtId="0" fontId="27" fillId="0" borderId="11" xfId="67" applyFont="1" applyFill="1" applyBorder="1" applyAlignment="1">
      <alignment horizontal="center"/>
      <protection/>
    </xf>
    <xf numFmtId="0" fontId="27" fillId="0" borderId="10" xfId="67" applyFont="1" applyFill="1" applyBorder="1" applyAlignment="1">
      <alignment horizontal="center"/>
      <protection/>
    </xf>
    <xf numFmtId="0" fontId="27" fillId="0" borderId="10" xfId="67" applyFont="1" applyFill="1" applyBorder="1" applyAlignment="1">
      <alignment wrapText="1"/>
      <protection/>
    </xf>
    <xf numFmtId="2" fontId="27" fillId="0" borderId="10" xfId="67" applyNumberFormat="1" applyFont="1" applyFill="1" applyBorder="1">
      <alignment/>
      <protection/>
    </xf>
    <xf numFmtId="4" fontId="27" fillId="0" borderId="10" xfId="67" applyNumberFormat="1" applyFont="1" applyFill="1" applyBorder="1">
      <alignment/>
      <protection/>
    </xf>
    <xf numFmtId="2" fontId="27" fillId="0" borderId="12" xfId="67" applyNumberFormat="1" applyFont="1" applyFill="1" applyBorder="1">
      <alignment/>
      <protection/>
    </xf>
    <xf numFmtId="169" fontId="27" fillId="0" borderId="10" xfId="67" applyNumberFormat="1" applyFont="1" applyFill="1" applyBorder="1">
      <alignment/>
      <protection/>
    </xf>
    <xf numFmtId="0" fontId="67" fillId="0" borderId="36" xfId="67" applyFont="1" applyFill="1" applyBorder="1">
      <alignment/>
      <protection/>
    </xf>
    <xf numFmtId="0" fontId="51" fillId="0" borderId="13" xfId="67" applyFill="1" applyBorder="1">
      <alignment/>
      <protection/>
    </xf>
    <xf numFmtId="0" fontId="67" fillId="0" borderId="18" xfId="67" applyFont="1" applyFill="1" applyBorder="1" applyAlignment="1">
      <alignment horizontal="center"/>
      <protection/>
    </xf>
    <xf numFmtId="0" fontId="27" fillId="0" borderId="20" xfId="67" applyNumberFormat="1" applyFont="1" applyFill="1" applyBorder="1" applyAlignment="1">
      <alignment vertical="center" wrapText="1"/>
      <protection/>
    </xf>
    <xf numFmtId="0" fontId="27" fillId="0" borderId="20" xfId="67" applyFont="1" applyFill="1" applyBorder="1" applyAlignment="1">
      <alignment horizontal="center"/>
      <protection/>
    </xf>
    <xf numFmtId="0" fontId="27" fillId="0" borderId="20" xfId="67" applyNumberFormat="1" applyFont="1" applyFill="1" applyBorder="1" applyAlignment="1">
      <alignment horizontal="center"/>
      <protection/>
    </xf>
    <xf numFmtId="0" fontId="27" fillId="0" borderId="20" xfId="67" applyFont="1" applyFill="1" applyBorder="1" applyAlignment="1">
      <alignment/>
      <protection/>
    </xf>
    <xf numFmtId="0" fontId="27" fillId="0" borderId="20" xfId="67" applyNumberFormat="1" applyFont="1" applyFill="1" applyBorder="1" applyAlignment="1">
      <alignment/>
      <protection/>
    </xf>
    <xf numFmtId="0" fontId="27" fillId="0" borderId="20" xfId="67" applyNumberFormat="1" applyFont="1" applyFill="1" applyBorder="1" applyAlignment="1">
      <alignment wrapText="1"/>
      <protection/>
    </xf>
    <xf numFmtId="0" fontId="27" fillId="0" borderId="20" xfId="67" applyNumberFormat="1" applyFont="1" applyFill="1" applyBorder="1" applyAlignment="1">
      <alignment horizontal="right"/>
      <protection/>
    </xf>
    <xf numFmtId="170" fontId="27" fillId="0" borderId="10" xfId="67" applyNumberFormat="1" applyFont="1" applyFill="1" applyBorder="1">
      <alignment/>
      <protection/>
    </xf>
    <xf numFmtId="0" fontId="27" fillId="0" borderId="10" xfId="67" applyNumberFormat="1" applyFont="1" applyFill="1" applyBorder="1" applyAlignment="1">
      <alignment horizontal="center"/>
      <protection/>
    </xf>
    <xf numFmtId="0" fontId="67" fillId="0" borderId="26" xfId="67" applyFont="1" applyFill="1" applyBorder="1">
      <alignment/>
      <protection/>
    </xf>
    <xf numFmtId="0" fontId="51" fillId="0" borderId="27" xfId="67" applyFill="1" applyBorder="1">
      <alignment/>
      <protection/>
    </xf>
    <xf numFmtId="0" fontId="0" fillId="0" borderId="37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0" fillId="0" borderId="38" xfId="67" applyFont="1" applyFill="1" applyBorder="1" applyAlignment="1">
      <alignment horizontal="center" wrapText="1"/>
      <protection/>
    </xf>
    <xf numFmtId="0" fontId="67" fillId="0" borderId="29" xfId="67" applyFont="1" applyFill="1" applyBorder="1" applyAlignment="1">
      <alignment horizontal="center"/>
      <protection/>
    </xf>
    <xf numFmtId="0" fontId="27" fillId="0" borderId="10" xfId="67" applyNumberFormat="1" applyFont="1" applyFill="1" applyBorder="1" applyAlignment="1">
      <alignment wrapText="1"/>
      <protection/>
    </xf>
    <xf numFmtId="0" fontId="27" fillId="0" borderId="31" xfId="67" applyFont="1" applyFill="1" applyBorder="1" applyAlignment="1">
      <alignment horizontal="center"/>
      <protection/>
    </xf>
    <xf numFmtId="2" fontId="27" fillId="0" borderId="20" xfId="67" applyNumberFormat="1" applyFont="1" applyFill="1" applyBorder="1">
      <alignment/>
      <protection/>
    </xf>
    <xf numFmtId="4" fontId="27" fillId="0" borderId="20" xfId="67" applyNumberFormat="1" applyFont="1" applyFill="1" applyBorder="1">
      <alignment/>
      <protection/>
    </xf>
    <xf numFmtId="2" fontId="27" fillId="0" borderId="39" xfId="67" applyNumberFormat="1" applyFont="1" applyFill="1" applyBorder="1">
      <alignment/>
      <protection/>
    </xf>
    <xf numFmtId="0" fontId="27" fillId="0" borderId="16" xfId="67" applyFont="1" applyFill="1" applyBorder="1" applyAlignment="1">
      <alignment horizontal="center"/>
      <protection/>
    </xf>
    <xf numFmtId="0" fontId="27" fillId="0" borderId="17" xfId="67" applyFont="1" applyFill="1" applyBorder="1" applyAlignment="1">
      <alignment horizontal="center"/>
      <protection/>
    </xf>
    <xf numFmtId="2" fontId="27" fillId="0" borderId="17" xfId="67" applyNumberFormat="1" applyFont="1" applyFill="1" applyBorder="1">
      <alignment/>
      <protection/>
    </xf>
    <xf numFmtId="4" fontId="27" fillId="0" borderId="17" xfId="67" applyNumberFormat="1" applyFont="1" applyFill="1" applyBorder="1">
      <alignment/>
      <protection/>
    </xf>
    <xf numFmtId="2" fontId="27" fillId="0" borderId="19" xfId="67" applyNumberFormat="1" applyFont="1" applyFill="1" applyBorder="1">
      <alignment/>
      <protection/>
    </xf>
    <xf numFmtId="0" fontId="67" fillId="0" borderId="40" xfId="67" applyFont="1" applyFill="1" applyBorder="1" applyAlignment="1">
      <alignment horizontal="center" vertical="top"/>
      <protection/>
    </xf>
    <xf numFmtId="0" fontId="70" fillId="0" borderId="41" xfId="67" applyFont="1" applyFill="1" applyBorder="1" applyAlignment="1">
      <alignment horizontal="center" wrapText="1"/>
      <protection/>
    </xf>
    <xf numFmtId="0" fontId="67" fillId="0" borderId="28" xfId="67" applyFont="1" applyFill="1" applyBorder="1" applyAlignment="1">
      <alignment horizontal="center"/>
      <protection/>
    </xf>
    <xf numFmtId="0" fontId="67" fillId="0" borderId="28" xfId="67" applyFont="1" applyFill="1" applyBorder="1">
      <alignment/>
      <protection/>
    </xf>
    <xf numFmtId="4" fontId="67" fillId="0" borderId="28" xfId="67" applyNumberFormat="1" applyFont="1" applyFill="1" applyBorder="1" applyAlignment="1">
      <alignment horizontal="center"/>
      <protection/>
    </xf>
    <xf numFmtId="2" fontId="34" fillId="0" borderId="10" xfId="67" applyNumberFormat="1" applyFont="1" applyFill="1" applyBorder="1">
      <alignment/>
      <protection/>
    </xf>
    <xf numFmtId="171" fontId="27" fillId="0" borderId="20" xfId="67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34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12" fillId="0" borderId="14" xfId="62" applyFont="1" applyFill="1" applyBorder="1" applyAlignment="1">
      <alignment horizontal="left" vertical="center" wrapText="1"/>
      <protection/>
    </xf>
    <xf numFmtId="0" fontId="12" fillId="0" borderId="42" xfId="62" applyFont="1" applyFill="1" applyBorder="1" applyAlignment="1">
      <alignment horizontal="left" vertical="center" wrapText="1"/>
      <protection/>
    </xf>
    <xf numFmtId="0" fontId="12" fillId="0" borderId="43" xfId="62" applyFont="1" applyFill="1" applyBorder="1" applyAlignment="1">
      <alignment horizontal="left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165" fontId="31" fillId="0" borderId="10" xfId="48" applyFont="1" applyFill="1" applyBorder="1" applyAlignment="1">
      <alignment horizontal="center" vertical="center" wrapText="1"/>
    </xf>
    <xf numFmtId="10" fontId="31" fillId="0" borderId="10" xfId="0" applyNumberFormat="1" applyFont="1" applyFill="1" applyBorder="1" applyAlignment="1">
      <alignment horizontal="center" vertical="center" wrapText="1"/>
    </xf>
    <xf numFmtId="10" fontId="72" fillId="0" borderId="1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/>
    </xf>
    <xf numFmtId="44" fontId="2" fillId="0" borderId="0" xfId="0" applyNumberFormat="1" applyFont="1" applyFill="1" applyAlignment="1">
      <alignment horizontal="center"/>
    </xf>
    <xf numFmtId="44" fontId="2" fillId="0" borderId="13" xfId="45" applyFont="1" applyBorder="1" applyAlignment="1">
      <alignment horizontal="center" vertical="center"/>
    </xf>
    <xf numFmtId="0" fontId="6" fillId="33" borderId="10" xfId="62" applyFont="1" applyFill="1" applyBorder="1" applyAlignment="1">
      <alignment horizontal="center" vertical="center"/>
      <protection/>
    </xf>
    <xf numFmtId="44" fontId="73" fillId="0" borderId="0" xfId="0" applyNumberFormat="1" applyFont="1" applyFill="1" applyAlignment="1">
      <alignment horizontal="center"/>
    </xf>
    <xf numFmtId="0" fontId="0" fillId="35" borderId="44" xfId="0" applyFont="1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35" borderId="46" xfId="0" applyFill="1" applyBorder="1" applyAlignment="1">
      <alignment horizontal="left"/>
    </xf>
    <xf numFmtId="0" fontId="74" fillId="37" borderId="30" xfId="0" applyFont="1" applyFill="1" applyBorder="1" applyAlignment="1">
      <alignment horizontal="center"/>
    </xf>
    <xf numFmtId="0" fontId="74" fillId="37" borderId="47" xfId="0" applyFont="1" applyFill="1" applyBorder="1" applyAlignment="1">
      <alignment horizontal="center"/>
    </xf>
    <xf numFmtId="0" fontId="74" fillId="37" borderId="23" xfId="0" applyFont="1" applyFill="1" applyBorder="1" applyAlignment="1">
      <alignment horizontal="center"/>
    </xf>
    <xf numFmtId="168" fontId="75" fillId="0" borderId="14" xfId="67" applyNumberFormat="1" applyFont="1" applyFill="1" applyBorder="1" applyAlignment="1">
      <alignment horizontal="center"/>
      <protection/>
    </xf>
    <xf numFmtId="168" fontId="75" fillId="0" borderId="42" xfId="67" applyNumberFormat="1" applyFont="1" applyFill="1" applyBorder="1" applyAlignment="1">
      <alignment horizontal="center"/>
      <protection/>
    </xf>
    <xf numFmtId="168" fontId="75" fillId="0" borderId="48" xfId="67" applyNumberFormat="1" applyFont="1" applyFill="1" applyBorder="1" applyAlignment="1">
      <alignment horizontal="center"/>
      <protection/>
    </xf>
    <xf numFmtId="0" fontId="0" fillId="0" borderId="4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67" fillId="0" borderId="50" xfId="67" applyFont="1" applyFill="1" applyBorder="1" applyAlignment="1">
      <alignment horizontal="left" vertical="top"/>
      <protection/>
    </xf>
    <xf numFmtId="0" fontId="67" fillId="0" borderId="51" xfId="67" applyFont="1" applyFill="1" applyBorder="1" applyAlignment="1">
      <alignment horizontal="left" vertical="top"/>
      <protection/>
    </xf>
    <xf numFmtId="0" fontId="67" fillId="0" borderId="52" xfId="67" applyFont="1" applyFill="1" applyBorder="1" applyAlignment="1">
      <alignment horizontal="left" vertical="top"/>
      <protection/>
    </xf>
    <xf numFmtId="0" fontId="75" fillId="0" borderId="11" xfId="67" applyFont="1" applyFill="1" applyBorder="1" applyAlignment="1">
      <alignment horizontal="center"/>
      <protection/>
    </xf>
    <xf numFmtId="0" fontId="75" fillId="0" borderId="20" xfId="67" applyFont="1" applyFill="1" applyBorder="1" applyAlignment="1">
      <alignment horizontal="center"/>
      <protection/>
    </xf>
    <xf numFmtId="0" fontId="75" fillId="0" borderId="10" xfId="67" applyFont="1" applyFill="1" applyBorder="1" applyAlignment="1">
      <alignment horizontal="center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67" fillId="0" borderId="53" xfId="67" applyFont="1" applyFill="1" applyBorder="1" applyAlignment="1">
      <alignment horizontal="left" vertical="top"/>
      <protection/>
    </xf>
    <xf numFmtId="0" fontId="67" fillId="0" borderId="54" xfId="67" applyFont="1" applyFill="1" applyBorder="1" applyAlignment="1">
      <alignment horizontal="left" vertical="top"/>
      <protection/>
    </xf>
    <xf numFmtId="0" fontId="75" fillId="0" borderId="31" xfId="67" applyFont="1" applyFill="1" applyBorder="1" applyAlignment="1">
      <alignment horizontal="center"/>
      <protection/>
    </xf>
    <xf numFmtId="168" fontId="75" fillId="0" borderId="21" xfId="67" applyNumberFormat="1" applyFont="1" applyFill="1" applyBorder="1" applyAlignment="1">
      <alignment horizontal="center"/>
      <protection/>
    </xf>
    <xf numFmtId="168" fontId="75" fillId="0" borderId="13" xfId="67" applyNumberFormat="1" applyFont="1" applyFill="1" applyBorder="1" applyAlignment="1">
      <alignment horizontal="center"/>
      <protection/>
    </xf>
    <xf numFmtId="168" fontId="75" fillId="0" borderId="55" xfId="67" applyNumberFormat="1" applyFont="1" applyFill="1" applyBorder="1" applyAlignment="1">
      <alignment horizontal="center"/>
      <protection/>
    </xf>
    <xf numFmtId="0" fontId="75" fillId="0" borderId="11" xfId="67" applyFont="1" applyBorder="1" applyAlignment="1">
      <alignment horizontal="center"/>
      <protection/>
    </xf>
    <xf numFmtId="0" fontId="75" fillId="0" borderId="20" xfId="67" applyFont="1" applyBorder="1" applyAlignment="1">
      <alignment horizontal="center"/>
      <protection/>
    </xf>
    <xf numFmtId="0" fontId="75" fillId="0" borderId="10" xfId="67" applyFont="1" applyBorder="1" applyAlignment="1">
      <alignment horizontal="center"/>
      <protection/>
    </xf>
    <xf numFmtId="168" fontId="75" fillId="0" borderId="14" xfId="67" applyNumberFormat="1" applyFont="1" applyBorder="1" applyAlignment="1">
      <alignment horizontal="center"/>
      <protection/>
    </xf>
    <xf numFmtId="168" fontId="75" fillId="0" borderId="42" xfId="67" applyNumberFormat="1" applyFont="1" applyBorder="1" applyAlignment="1">
      <alignment horizontal="center"/>
      <protection/>
    </xf>
    <xf numFmtId="168" fontId="75" fillId="0" borderId="48" xfId="67" applyNumberFormat="1" applyFont="1" applyBorder="1" applyAlignment="1">
      <alignment horizontal="center"/>
      <protection/>
    </xf>
    <xf numFmtId="0" fontId="67" fillId="0" borderId="56" xfId="67" applyFont="1" applyFill="1" applyBorder="1" applyAlignment="1">
      <alignment horizontal="left" vertical="top"/>
      <protection/>
    </xf>
    <xf numFmtId="0" fontId="75" fillId="0" borderId="57" xfId="67" applyFont="1" applyBorder="1" applyAlignment="1">
      <alignment horizontal="center"/>
      <protection/>
    </xf>
    <xf numFmtId="0" fontId="75" fillId="0" borderId="42" xfId="67" applyFont="1" applyBorder="1" applyAlignment="1">
      <alignment horizontal="center"/>
      <protection/>
    </xf>
    <xf numFmtId="0" fontId="75" fillId="0" borderId="43" xfId="67" applyFont="1" applyBorder="1" applyAlignment="1">
      <alignment horizontal="center"/>
      <protection/>
    </xf>
    <xf numFmtId="0" fontId="67" fillId="35" borderId="50" xfId="67" applyFont="1" applyFill="1" applyBorder="1" applyAlignment="1">
      <alignment horizontal="left" vertical="top"/>
      <protection/>
    </xf>
    <xf numFmtId="0" fontId="67" fillId="35" borderId="51" xfId="67" applyFont="1" applyFill="1" applyBorder="1" applyAlignment="1">
      <alignment horizontal="left" vertical="top"/>
      <protection/>
    </xf>
    <xf numFmtId="0" fontId="67" fillId="35" borderId="52" xfId="67" applyFont="1" applyFill="1" applyBorder="1" applyAlignment="1">
      <alignment horizontal="left" vertical="top"/>
      <protection/>
    </xf>
    <xf numFmtId="0" fontId="67" fillId="35" borderId="17" xfId="67" applyFont="1" applyFill="1" applyBorder="1" applyAlignment="1">
      <alignment horizontal="left" vertical="top"/>
      <protection/>
    </xf>
    <xf numFmtId="0" fontId="67" fillId="35" borderId="22" xfId="67" applyFont="1" applyFill="1" applyBorder="1" applyAlignment="1">
      <alignment horizontal="left" vertical="top"/>
      <protection/>
    </xf>
    <xf numFmtId="0" fontId="75" fillId="0" borderId="31" xfId="67" applyFont="1" applyBorder="1" applyAlignment="1">
      <alignment horizontal="center"/>
      <protection/>
    </xf>
    <xf numFmtId="168" fontId="75" fillId="0" borderId="21" xfId="67" applyNumberFormat="1" applyFont="1" applyBorder="1" applyAlignment="1">
      <alignment horizontal="center"/>
      <protection/>
    </xf>
    <xf numFmtId="168" fontId="75" fillId="0" borderId="13" xfId="67" applyNumberFormat="1" applyFont="1" applyBorder="1" applyAlignment="1">
      <alignment horizontal="center"/>
      <protection/>
    </xf>
    <xf numFmtId="168" fontId="75" fillId="0" borderId="55" xfId="67" applyNumberFormat="1" applyFont="1" applyBorder="1" applyAlignment="1">
      <alignment horizontal="center"/>
      <protection/>
    </xf>
    <xf numFmtId="0" fontId="30" fillId="35" borderId="17" xfId="67" applyFont="1" applyFill="1" applyBorder="1" applyAlignment="1">
      <alignment horizontal="left" vertical="top"/>
      <protection/>
    </xf>
    <xf numFmtId="0" fontId="30" fillId="35" borderId="22" xfId="67" applyFont="1" applyFill="1" applyBorder="1" applyAlignment="1">
      <alignment horizontal="left" vertical="top"/>
      <protection/>
    </xf>
    <xf numFmtId="0" fontId="67" fillId="35" borderId="51" xfId="67" applyFont="1" applyFill="1" applyBorder="1" applyAlignment="1">
      <alignment horizontal="left" vertical="top" wrapText="1"/>
      <protection/>
    </xf>
    <xf numFmtId="0" fontId="67" fillId="35" borderId="52" xfId="67" applyFont="1" applyFill="1" applyBorder="1" applyAlignment="1">
      <alignment horizontal="left" vertical="top" wrapText="1"/>
      <protection/>
    </xf>
    <xf numFmtId="0" fontId="0" fillId="35" borderId="27" xfId="0" applyFont="1" applyFill="1" applyBorder="1" applyAlignment="1">
      <alignment horizontal="left"/>
    </xf>
    <xf numFmtId="0" fontId="67" fillId="35" borderId="58" xfId="67" applyFont="1" applyFill="1" applyBorder="1" applyAlignment="1">
      <alignment horizontal="left" vertical="top"/>
      <protection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0" fillId="14" borderId="10" xfId="0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3" xfId="0" applyFont="1" applyBorder="1" applyAlignment="1">
      <alignment horizontal="center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10" xfId="47"/>
    <cellStyle name="Moeda 2" xfId="48"/>
    <cellStyle name="Moeda 2 2" xfId="49"/>
    <cellStyle name="Moeda 3" xfId="50"/>
    <cellStyle name="Moeda 3 2" xfId="51"/>
    <cellStyle name="Moeda 3 2 3" xfId="52"/>
    <cellStyle name="Moeda 3 3" xfId="53"/>
    <cellStyle name="Moeda 3 3 2" xfId="54"/>
    <cellStyle name="Moeda 3 3 2 2" xfId="55"/>
    <cellStyle name="Moeda 3 3 3" xfId="56"/>
    <cellStyle name="Moeda 4" xfId="57"/>
    <cellStyle name="Neutra" xfId="58"/>
    <cellStyle name="Normal 10" xfId="59"/>
    <cellStyle name="Normal 10 2" xfId="60"/>
    <cellStyle name="Normal 2" xfId="61"/>
    <cellStyle name="Normal 2 2" xfId="62"/>
    <cellStyle name="Normal 3" xfId="63"/>
    <cellStyle name="Normal 3 2" xfId="64"/>
    <cellStyle name="Normal 3 2 2" xfId="65"/>
    <cellStyle name="Normal 3 3" xfId="66"/>
    <cellStyle name="Normal 4" xfId="67"/>
    <cellStyle name="Normal 4 2" xfId="68"/>
    <cellStyle name="Normal 8" xfId="69"/>
    <cellStyle name="Normal 8 2" xfId="70"/>
    <cellStyle name="Nota" xfId="71"/>
    <cellStyle name="Percent" xfId="72"/>
    <cellStyle name="Porcentagem 10" xfId="73"/>
    <cellStyle name="Porcentagem 10 2" xfId="74"/>
    <cellStyle name="Porcentagem 2" xfId="75"/>
    <cellStyle name="Porcentagem 3" xfId="76"/>
    <cellStyle name="Porcentagem 3 2" xfId="77"/>
    <cellStyle name="Saída" xfId="78"/>
    <cellStyle name="Comma [0]" xfId="79"/>
    <cellStyle name="Separador de milhares 10" xfId="80"/>
    <cellStyle name="Separador de milhares 10 2" xfId="81"/>
    <cellStyle name="Separador de milhares 10 2 2" xfId="82"/>
    <cellStyle name="Separador de milhares 10 3" xfId="83"/>
    <cellStyle name="Separador de milhares 11" xfId="84"/>
    <cellStyle name="Separador de milhares 11 2" xfId="85"/>
    <cellStyle name="Separador de milhares 12" xfId="86"/>
    <cellStyle name="Separador de milhares 12 2" xfId="87"/>
    <cellStyle name="Separador de milhares 12 2 2" xfId="88"/>
    <cellStyle name="Separador de milhares 12 3" xfId="89"/>
    <cellStyle name="Separador de milhares 13" xfId="90"/>
    <cellStyle name="Separador de milhares 13 2" xfId="91"/>
    <cellStyle name="Separador de milhares 15" xfId="92"/>
    <cellStyle name="Separador de milhares 15 2" xfId="93"/>
    <cellStyle name="Separador de milhares 2" xfId="94"/>
    <cellStyle name="Separador de milhares 2 2" xfId="95"/>
    <cellStyle name="Separador de milhares 2 2 2" xfId="96"/>
    <cellStyle name="Separador de milhares 2 3" xfId="97"/>
    <cellStyle name="Separador de milhares 3 3" xfId="98"/>
    <cellStyle name="Separador de milhares 3 3 2" xfId="99"/>
    <cellStyle name="Separador de milhares 4 2" xfId="100"/>
    <cellStyle name="Separador de milhares 4 2 2" xfId="101"/>
    <cellStyle name="Separador de milhares 4 2 2 2" xfId="102"/>
    <cellStyle name="Separador de milhares 4 2 3" xfId="103"/>
    <cellStyle name="Separador de milhares 5 2" xfId="104"/>
    <cellStyle name="Separador de milhares 5 2 2" xfId="105"/>
    <cellStyle name="Separador de milhares 6" xfId="106"/>
    <cellStyle name="Separador de milhares 6 2" xfId="107"/>
    <cellStyle name="Separador de milhares 7 2" xfId="108"/>
    <cellStyle name="Separador de milhares 7 2 2" xfId="109"/>
    <cellStyle name="Separador de milhares 8 2" xfId="110"/>
    <cellStyle name="Separador de milhares 8 2 2" xfId="111"/>
    <cellStyle name="Separador de milhares 9" xfId="112"/>
    <cellStyle name="Separador de milhares 9 2" xfId="113"/>
    <cellStyle name="Texto de Aviso" xfId="114"/>
    <cellStyle name="Texto Explicativo" xfId="115"/>
    <cellStyle name="Título" xfId="116"/>
    <cellStyle name="Título 1" xfId="117"/>
    <cellStyle name="Título 2" xfId="118"/>
    <cellStyle name="Título 3" xfId="119"/>
    <cellStyle name="Título 4" xfId="120"/>
    <cellStyle name="Total" xfId="121"/>
    <cellStyle name="Comma" xfId="122"/>
    <cellStyle name="Vírgula 2" xfId="123"/>
    <cellStyle name="Vírgula 2 2" xfId="124"/>
    <cellStyle name="Vírgula 2 2 2" xfId="125"/>
    <cellStyle name="Vírgula 2 3" xfId="126"/>
    <cellStyle name="Vírgula 3" xfId="127"/>
    <cellStyle name="Vírgula 3 2" xfId="128"/>
    <cellStyle name="Vírgula 3 2 2" xfId="129"/>
    <cellStyle name="Vírgula 3 3" xfId="130"/>
    <cellStyle name="Vírgula 3 3 2" xfId="131"/>
    <cellStyle name="Vírgula 4" xfId="132"/>
    <cellStyle name="Vírgula 4 2" xfId="133"/>
    <cellStyle name="Vírgula 5" xfId="134"/>
    <cellStyle name="Vírgula 5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Meus%20documentos\Comercial\DERSA\CC%20013-03%20-%20Pier%20Guaruj&#225;%20-%20N&#227;oP\Planilha%20e%20Composi&#231;&#245;es\HelenoFonseca\DNER-0431\DNER431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SANEAMENTO\SA0077_PROJ_PREF-BRUSQUE%20-%20Rede%20Drenagem%20Pluvial\META%2002_FGTS_OBRA%2009_Volume%20I%20-%20M.%20Descritivos%20e%20Or&#231;amentos\Auxiliares_Or&#231;amentos\Servi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\MAQUINAS\I0201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Documents%20and%20Settings\FABIO\Meus%20documentos\ofertas\7480%20-%20BELGO\eletrica\7480-belgo-s03s05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001_SANEAMENTO\SA0077_PROJ_PREF-BRUSQUE%20-%20Rede%20Drenagem%20Pluvial\PROJ_OBRA%2010\OB10_MEMORIAL%20DESCRITIVO_OR&#199;AMENTO\Auxiliares_Or&#231;amentos\Servi&#231;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gasmig\CP%20013-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_001_SANEAMENTO\SA0058_PROJ_SEMASA_Rede%20de%20Esgoto%20-%20Cordeiros_Rib%20Murta\000_ENTREGA_11_09_06_SEMASA_EDITAVEIS\OR&#199;AMENTO\SA0058_OR&#199;AMENTO_REPROGRAMA&#199;&#195;O_R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copergas\Proposta%20B\CP028iten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to\Meu\ORCAM\eteI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  "/>
      <sheetName val="CAPA 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134">
        <row r="6">
          <cell r="A6" t="str">
            <v>Data: 03/05/2002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1">
        <row r="3">
          <cell r="B3" t="str">
            <v>CONENGE-SC CONSTRUÇÕES E ENGENHARIA LTDA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SheetLayoutView="100" zoomScalePageLayoutView="0" workbookViewId="0" topLeftCell="A1">
      <selection activeCell="D7" sqref="D7:D8"/>
    </sheetView>
  </sheetViews>
  <sheetFormatPr defaultColWidth="9.140625" defaultRowHeight="12.75"/>
  <cols>
    <col min="1" max="1" width="11.28125" style="16" customWidth="1"/>
    <col min="2" max="2" width="9.421875" style="17" customWidth="1"/>
    <col min="3" max="3" width="11.7109375" style="17" customWidth="1"/>
    <col min="4" max="4" width="80.57421875" style="18" customWidth="1"/>
    <col min="5" max="5" width="8.7109375" style="16" customWidth="1"/>
    <col min="6" max="6" width="15.7109375" style="16" customWidth="1"/>
    <col min="7" max="7" width="12.00390625" style="16" hidden="1" customWidth="1"/>
    <col min="8" max="8" width="14.421875" style="16" customWidth="1"/>
    <col min="9" max="9" width="14.140625" style="16" customWidth="1"/>
    <col min="10" max="10" width="16.28125" style="16" customWidth="1"/>
    <col min="11" max="11" width="20.140625" style="30" customWidth="1"/>
    <col min="12" max="12" width="15.00390625" style="19" customWidth="1"/>
    <col min="13" max="13" width="19.57421875" style="19" customWidth="1"/>
    <col min="14" max="14" width="14.7109375" style="19" hidden="1" customWidth="1"/>
    <col min="15" max="15" width="17.00390625" style="19" hidden="1" customWidth="1"/>
    <col min="16" max="16" width="16.00390625" style="19" hidden="1" customWidth="1"/>
    <col min="17" max="17" width="9.140625" style="19" customWidth="1"/>
    <col min="18" max="18" width="14.28125" style="19" customWidth="1"/>
    <col min="19" max="16384" width="9.140625" style="19" customWidth="1"/>
  </cols>
  <sheetData>
    <row r="1" spans="1:11" s="1" customFormat="1" ht="21.75" customHeight="1">
      <c r="A1" s="240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0"/>
    </row>
    <row r="2" spans="1:11" s="2" customFormat="1" ht="18">
      <c r="A2" s="242" t="s">
        <v>58</v>
      </c>
      <c r="B2" s="242"/>
      <c r="C2" s="242"/>
      <c r="D2" s="242"/>
      <c r="E2" s="242"/>
      <c r="F2" s="242"/>
      <c r="G2" s="242"/>
      <c r="H2" s="242"/>
      <c r="I2" s="242"/>
      <c r="J2" s="242"/>
      <c r="K2" s="21"/>
    </row>
    <row r="3" spans="1:11" s="2" customFormat="1" ht="1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1"/>
    </row>
    <row r="4" spans="1:11" s="2" customFormat="1" ht="12.75" customHeight="1">
      <c r="A4" s="244" t="s">
        <v>145</v>
      </c>
      <c r="B4" s="245"/>
      <c r="C4" s="245"/>
      <c r="D4" s="246"/>
      <c r="E4" s="106"/>
      <c r="F4" s="106"/>
      <c r="G4" s="106"/>
      <c r="H4" s="106"/>
      <c r="I4" s="106"/>
      <c r="J4" s="106"/>
      <c r="K4" s="21"/>
    </row>
    <row r="5" spans="1:11" s="2" customFormat="1" ht="12.75" customHeight="1">
      <c r="A5" s="244" t="s">
        <v>140</v>
      </c>
      <c r="B5" s="245"/>
      <c r="C5" s="245"/>
      <c r="D5" s="246"/>
      <c r="E5" s="106"/>
      <c r="F5" s="106"/>
      <c r="G5" s="106"/>
      <c r="H5" s="106"/>
      <c r="I5" s="106"/>
      <c r="J5" s="106"/>
      <c r="K5" s="21"/>
    </row>
    <row r="6" spans="1:31" s="41" customFormat="1" ht="18">
      <c r="A6" s="239" t="s">
        <v>72</v>
      </c>
      <c r="B6" s="239"/>
      <c r="C6" s="239"/>
      <c r="D6" s="239"/>
      <c r="E6" s="239"/>
      <c r="F6" s="239"/>
      <c r="G6" s="239"/>
      <c r="H6" s="239"/>
      <c r="I6" s="239"/>
      <c r="J6" s="239"/>
      <c r="K6" s="64"/>
      <c r="L6" s="66" t="s">
        <v>23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10" s="3" customFormat="1" ht="15" customHeight="1">
      <c r="A7" s="247" t="s">
        <v>9</v>
      </c>
      <c r="B7" s="247" t="s">
        <v>10</v>
      </c>
      <c r="C7" s="247" t="s">
        <v>11</v>
      </c>
      <c r="D7" s="247" t="s">
        <v>12</v>
      </c>
      <c r="E7" s="247" t="s">
        <v>13</v>
      </c>
      <c r="F7" s="247" t="s">
        <v>14</v>
      </c>
      <c r="G7" s="247" t="s">
        <v>17</v>
      </c>
      <c r="H7" s="247" t="s">
        <v>17</v>
      </c>
      <c r="I7" s="247" t="s">
        <v>55</v>
      </c>
      <c r="J7" s="247" t="s">
        <v>18</v>
      </c>
    </row>
    <row r="8" spans="1:10" s="3" customFormat="1" ht="12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3" s="8" customFormat="1" ht="12">
      <c r="A9" s="4">
        <v>1</v>
      </c>
      <c r="B9" s="50"/>
      <c r="C9" s="5"/>
      <c r="D9" s="6" t="s">
        <v>126</v>
      </c>
      <c r="E9" s="31"/>
      <c r="F9" s="7"/>
      <c r="G9" s="22"/>
      <c r="H9" s="22"/>
      <c r="I9" s="7"/>
      <c r="J9" s="7"/>
      <c r="K9" s="9"/>
      <c r="L9" s="9"/>
      <c r="M9" s="9"/>
    </row>
    <row r="10" spans="1:28" s="40" customFormat="1" ht="12">
      <c r="A10" s="32" t="s">
        <v>2</v>
      </c>
      <c r="B10" s="33"/>
      <c r="C10" s="33" t="s">
        <v>15</v>
      </c>
      <c r="D10" s="34" t="str">
        <f>COMPOSIÇÕES!B2</f>
        <v>ADMINISTRAÇÃO LOCAL</v>
      </c>
      <c r="E10" s="35" t="s">
        <v>103</v>
      </c>
      <c r="F10" s="36">
        <v>2</v>
      </c>
      <c r="G10" s="36">
        <v>166732.84</v>
      </c>
      <c r="H10" s="36">
        <f>COMPOSIÇÕES!E10</f>
        <v>7031.3304</v>
      </c>
      <c r="I10" s="36">
        <f>ROUND(H10*(1+$E$29),2)</f>
        <v>8578.22</v>
      </c>
      <c r="J10" s="36">
        <f>ROUND(F10*I10,2)</f>
        <v>17156.44</v>
      </c>
      <c r="K10" s="9"/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13" s="40" customFormat="1" ht="12">
      <c r="A11" s="32" t="s">
        <v>46</v>
      </c>
      <c r="B11" s="33" t="s">
        <v>1</v>
      </c>
      <c r="C11" s="33" t="s">
        <v>22</v>
      </c>
      <c r="D11" s="34" t="s">
        <v>60</v>
      </c>
      <c r="E11" s="35" t="s">
        <v>52</v>
      </c>
      <c r="F11" s="83">
        <f>2*1.5</f>
        <v>3</v>
      </c>
      <c r="G11" s="36">
        <v>166732.84</v>
      </c>
      <c r="H11" s="36">
        <v>319.06</v>
      </c>
      <c r="I11" s="36">
        <f>ROUND(H11*(1+$E$29),2)</f>
        <v>389.25</v>
      </c>
      <c r="J11" s="36">
        <f>ROUND(F11*I11,2)</f>
        <v>1167.75</v>
      </c>
      <c r="K11" s="82"/>
      <c r="L11" s="82"/>
      <c r="M11" s="82"/>
    </row>
    <row r="12" spans="1:13" s="40" customFormat="1" ht="27" customHeight="1">
      <c r="A12" s="32" t="s">
        <v>47</v>
      </c>
      <c r="B12" s="33" t="s">
        <v>1</v>
      </c>
      <c r="C12" s="33">
        <v>93584</v>
      </c>
      <c r="D12" s="34" t="s">
        <v>56</v>
      </c>
      <c r="E12" s="35" t="s">
        <v>52</v>
      </c>
      <c r="F12" s="83">
        <v>14.88</v>
      </c>
      <c r="G12" s="36">
        <v>166732.84</v>
      </c>
      <c r="H12" s="36">
        <v>646.32</v>
      </c>
      <c r="I12" s="36">
        <f>ROUND(H12*(1+$E$29),2)</f>
        <v>788.51</v>
      </c>
      <c r="J12" s="36">
        <f>ROUND(F12*I12,2)</f>
        <v>11733.03</v>
      </c>
      <c r="K12" s="82"/>
      <c r="L12" s="82"/>
      <c r="M12" s="82"/>
    </row>
    <row r="13" spans="1:28" s="29" customFormat="1" ht="15">
      <c r="A13" s="24"/>
      <c r="B13" s="25"/>
      <c r="C13" s="86"/>
      <c r="D13" s="26" t="s">
        <v>19</v>
      </c>
      <c r="E13" s="24"/>
      <c r="F13" s="81"/>
      <c r="G13" s="27"/>
      <c r="H13" s="27"/>
      <c r="I13" s="44"/>
      <c r="J13" s="28">
        <f>SUM(J10:J12)</f>
        <v>30057.22</v>
      </c>
      <c r="K13" s="9"/>
      <c r="L13" s="9"/>
      <c r="M13" s="9"/>
      <c r="N13" s="8"/>
      <c r="O13" s="2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13" s="8" customFormat="1" ht="12">
      <c r="A14" s="22">
        <v>2</v>
      </c>
      <c r="B14" s="5"/>
      <c r="C14" s="5"/>
      <c r="D14" s="6" t="s">
        <v>57</v>
      </c>
      <c r="E14" s="84"/>
      <c r="F14" s="38"/>
      <c r="G14" s="38"/>
      <c r="H14" s="38"/>
      <c r="I14" s="38"/>
      <c r="J14" s="90"/>
      <c r="K14" s="176"/>
      <c r="L14" s="97"/>
      <c r="M14" s="9"/>
    </row>
    <row r="15" spans="1:13" s="8" customFormat="1" ht="12">
      <c r="A15" s="39" t="s">
        <v>3</v>
      </c>
      <c r="B15" s="42"/>
      <c r="C15" s="42"/>
      <c r="D15" s="63" t="s">
        <v>63</v>
      </c>
      <c r="E15" s="43"/>
      <c r="F15" s="67"/>
      <c r="G15" s="67"/>
      <c r="H15" s="67"/>
      <c r="I15" s="67"/>
      <c r="J15" s="67"/>
      <c r="K15" s="179"/>
      <c r="L15" s="98"/>
      <c r="M15" s="15"/>
    </row>
    <row r="16" spans="1:13" s="8" customFormat="1" ht="12">
      <c r="A16" s="32" t="s">
        <v>127</v>
      </c>
      <c r="B16" s="33"/>
      <c r="C16" s="33" t="s">
        <v>15</v>
      </c>
      <c r="D16" s="34" t="s">
        <v>106</v>
      </c>
      <c r="E16" s="35" t="s">
        <v>84</v>
      </c>
      <c r="F16" s="37">
        <v>396</v>
      </c>
      <c r="G16" s="37"/>
      <c r="H16" s="37">
        <f>COMPOSIÇÕES!E25</f>
        <v>438.40614108000005</v>
      </c>
      <c r="I16" s="37">
        <f>ROUND(H16*(1+$E$28),2)</f>
        <v>534.86</v>
      </c>
      <c r="J16" s="177">
        <f>ROUND(F16*I16,2)</f>
        <v>211804.56</v>
      </c>
      <c r="K16" s="178"/>
      <c r="L16" s="96"/>
      <c r="M16" s="15"/>
    </row>
    <row r="17" spans="1:13" s="8" customFormat="1" ht="24">
      <c r="A17" s="32" t="s">
        <v>130</v>
      </c>
      <c r="B17" s="33"/>
      <c r="C17" s="125" t="s">
        <v>15</v>
      </c>
      <c r="D17" s="127" t="s">
        <v>131</v>
      </c>
      <c r="E17" s="128" t="s">
        <v>84</v>
      </c>
      <c r="F17" s="37">
        <v>396</v>
      </c>
      <c r="G17" s="37"/>
      <c r="H17" s="37">
        <f>COMPOSIÇÕES!E32</f>
        <v>296.0164</v>
      </c>
      <c r="I17" s="37">
        <f>ROUND(H17*(1+$E$28),2)</f>
        <v>361.14</v>
      </c>
      <c r="J17" s="177">
        <f>ROUND(F17*I17,2)</f>
        <v>143011.44</v>
      </c>
      <c r="K17" s="178"/>
      <c r="L17" s="96"/>
      <c r="M17" s="15"/>
    </row>
    <row r="18" spans="1:13" s="8" customFormat="1" ht="12">
      <c r="A18" s="39" t="s">
        <v>5</v>
      </c>
      <c r="B18" s="42"/>
      <c r="C18" s="126"/>
      <c r="D18" s="130" t="s">
        <v>139</v>
      </c>
      <c r="E18" s="129"/>
      <c r="F18" s="67"/>
      <c r="G18" s="67"/>
      <c r="H18" s="67"/>
      <c r="I18" s="67"/>
      <c r="J18" s="180"/>
      <c r="K18" s="178"/>
      <c r="L18" s="96"/>
      <c r="M18" s="15"/>
    </row>
    <row r="19" spans="1:13" s="8" customFormat="1" ht="12">
      <c r="A19" s="32" t="s">
        <v>135</v>
      </c>
      <c r="B19" s="33"/>
      <c r="C19" s="125" t="s">
        <v>15</v>
      </c>
      <c r="D19" s="127" t="s">
        <v>137</v>
      </c>
      <c r="E19" s="128" t="s">
        <v>39</v>
      </c>
      <c r="F19" s="37">
        <v>2</v>
      </c>
      <c r="G19" s="37"/>
      <c r="H19" s="37">
        <f>COMPOSIÇÕES!E63</f>
        <v>4899.5686571199985</v>
      </c>
      <c r="I19" s="37">
        <f>ROUND(H19*(1+$E$28),2)</f>
        <v>5977.47</v>
      </c>
      <c r="J19" s="177">
        <f>ROUND(F19*I19,2)</f>
        <v>11954.94</v>
      </c>
      <c r="K19" s="178"/>
      <c r="L19" s="96"/>
      <c r="M19" s="15"/>
    </row>
    <row r="20" spans="1:13" s="8" customFormat="1" ht="12">
      <c r="A20" s="32" t="s">
        <v>136</v>
      </c>
      <c r="B20" s="33"/>
      <c r="C20" s="125" t="s">
        <v>15</v>
      </c>
      <c r="D20" s="127" t="s">
        <v>138</v>
      </c>
      <c r="E20" s="128" t="s">
        <v>105</v>
      </c>
      <c r="F20" s="37">
        <v>1</v>
      </c>
      <c r="G20" s="37"/>
      <c r="H20" s="37">
        <f>COMPOSIÇÕES!E79</f>
        <v>5431.5632095968</v>
      </c>
      <c r="I20" s="37">
        <f>ROUND(H20*(1+$E$28),2)</f>
        <v>6626.51</v>
      </c>
      <c r="J20" s="177">
        <f>ROUND(F20*I20,2)</f>
        <v>6626.51</v>
      </c>
      <c r="K20" s="178"/>
      <c r="L20" s="96"/>
      <c r="M20" s="15"/>
    </row>
    <row r="21" spans="1:28" s="29" customFormat="1" ht="12">
      <c r="A21" s="39"/>
      <c r="B21" s="25"/>
      <c r="C21" s="25"/>
      <c r="D21" s="26" t="s">
        <v>19</v>
      </c>
      <c r="E21" s="24"/>
      <c r="F21" s="27"/>
      <c r="G21" s="27"/>
      <c r="H21" s="27"/>
      <c r="I21" s="27"/>
      <c r="J21" s="93">
        <f>SUM(J16:J20)</f>
        <v>373397.45</v>
      </c>
      <c r="K21" s="103"/>
      <c r="L21" s="97"/>
      <c r="M21" s="9"/>
      <c r="N21" s="8"/>
      <c r="O21" s="2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13" s="8" customFormat="1" ht="12">
      <c r="A22" s="22">
        <v>3</v>
      </c>
      <c r="B22" s="5"/>
      <c r="C22" s="5"/>
      <c r="D22" s="6" t="s">
        <v>90</v>
      </c>
      <c r="E22" s="84"/>
      <c r="F22" s="7"/>
      <c r="G22" s="7"/>
      <c r="H22" s="7"/>
      <c r="I22" s="7"/>
      <c r="J22" s="94"/>
      <c r="K22" s="104"/>
      <c r="L22" s="97"/>
      <c r="M22" s="9"/>
    </row>
    <row r="23" spans="1:13" s="8" customFormat="1" ht="12">
      <c r="A23" s="39" t="s">
        <v>4</v>
      </c>
      <c r="B23" s="42"/>
      <c r="C23" s="42"/>
      <c r="D23" s="63" t="s">
        <v>81</v>
      </c>
      <c r="E23" s="43"/>
      <c r="F23" s="67"/>
      <c r="G23" s="44"/>
      <c r="H23" s="44"/>
      <c r="I23" s="44"/>
      <c r="J23" s="111"/>
      <c r="K23" s="104"/>
      <c r="L23" s="97"/>
      <c r="M23" s="9"/>
    </row>
    <row r="24" spans="1:13" s="89" customFormat="1" ht="12">
      <c r="A24" s="32" t="s">
        <v>133</v>
      </c>
      <c r="B24" s="33"/>
      <c r="C24" s="33" t="s">
        <v>15</v>
      </c>
      <c r="D24" s="34" t="str">
        <f>COMPOSIÇÕES!B35</f>
        <v>VIGA EM CONCRETO ARMADO (15X65CM) - FCK = 25 MPA</v>
      </c>
      <c r="E24" s="35" t="s">
        <v>84</v>
      </c>
      <c r="F24" s="36">
        <v>469.24</v>
      </c>
      <c r="G24" s="36"/>
      <c r="H24" s="36">
        <f>COMPOSIÇÕES!E47</f>
        <v>206.86893896619998</v>
      </c>
      <c r="I24" s="36">
        <f>ROUND(H24*(1+$E$29),2)</f>
        <v>252.38</v>
      </c>
      <c r="J24" s="91">
        <f>ROUND(F24*I24,2)</f>
        <v>118426.79</v>
      </c>
      <c r="K24" s="101"/>
      <c r="L24" s="99"/>
      <c r="M24" s="88"/>
    </row>
    <row r="25" spans="1:13" s="8" customFormat="1" ht="36.75" customHeight="1">
      <c r="A25" s="32" t="s">
        <v>134</v>
      </c>
      <c r="B25" s="33"/>
      <c r="C25" s="33" t="s">
        <v>15</v>
      </c>
      <c r="D25" s="34" t="str">
        <f>COMPOSIÇÕES!B119</f>
        <v>EXECUÇÃO DE PISO DE CONCRETO COM CONCRETO MOLDADO IN LOCO, FEITO EM OBRA, ACABAMENTO CONVENCIONAL, ESPESSURA 12 CM, ARMADO</v>
      </c>
      <c r="E25" s="35" t="s">
        <v>52</v>
      </c>
      <c r="F25" s="36">
        <f>4471.93+87.62+227.48+758.26</f>
        <v>5545.29</v>
      </c>
      <c r="G25" s="36"/>
      <c r="H25" s="36">
        <f>COMPOSIÇÕES!E133</f>
        <v>124.24940646666667</v>
      </c>
      <c r="I25" s="36">
        <f>ROUND(H25*(1+$E$29),2)</f>
        <v>151.58</v>
      </c>
      <c r="J25" s="91">
        <f>ROUND(F25*I25,2)</f>
        <v>840555.06</v>
      </c>
      <c r="K25" s="100"/>
      <c r="L25" s="95"/>
      <c r="M25" s="15"/>
    </row>
    <row r="26" spans="1:28" s="29" customFormat="1" ht="12">
      <c r="A26" s="39"/>
      <c r="B26" s="25"/>
      <c r="C26" s="25"/>
      <c r="D26" s="26" t="s">
        <v>19</v>
      </c>
      <c r="E26" s="24"/>
      <c r="F26" s="27"/>
      <c r="G26" s="27"/>
      <c r="H26" s="27"/>
      <c r="I26" s="27"/>
      <c r="J26" s="93">
        <f>SUM(J24:J25)</f>
        <v>958981.8500000001</v>
      </c>
      <c r="K26" s="103"/>
      <c r="L26" s="97"/>
      <c r="M26" s="9"/>
      <c r="N26" s="8"/>
      <c r="O26" s="2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13" s="8" customFormat="1" ht="12">
      <c r="A27" s="39"/>
      <c r="B27" s="10"/>
      <c r="C27" s="10"/>
      <c r="D27" s="11"/>
      <c r="E27" s="12"/>
      <c r="F27" s="13"/>
      <c r="G27" s="13"/>
      <c r="H27" s="13"/>
      <c r="I27" s="13"/>
      <c r="J27" s="92"/>
      <c r="K27" s="102"/>
      <c r="L27" s="97"/>
      <c r="M27" s="9"/>
    </row>
    <row r="28" spans="1:13" ht="15.75">
      <c r="A28" s="51"/>
      <c r="B28" s="62"/>
      <c r="C28" s="62"/>
      <c r="D28" s="85" t="s">
        <v>50</v>
      </c>
      <c r="E28" s="249">
        <v>0.22</v>
      </c>
      <c r="F28" s="249"/>
      <c r="G28" s="85"/>
      <c r="H28" s="85"/>
      <c r="I28" s="248"/>
      <c r="J28" s="248"/>
      <c r="K28" s="65"/>
      <c r="M28" s="14"/>
    </row>
    <row r="29" spans="1:13" ht="15.75">
      <c r="A29" s="51"/>
      <c r="B29" s="62"/>
      <c r="C29" s="62"/>
      <c r="D29" s="85" t="s">
        <v>49</v>
      </c>
      <c r="E29" s="250">
        <v>0.22</v>
      </c>
      <c r="F29" s="250"/>
      <c r="G29" s="85"/>
      <c r="H29" s="85"/>
      <c r="I29" s="248">
        <f>J13+J26+J21</f>
        <v>1362436.52</v>
      </c>
      <c r="J29" s="248"/>
      <c r="K29" s="65"/>
      <c r="M29" s="14"/>
    </row>
    <row r="30" spans="1:10" ht="23.25" hidden="1">
      <c r="A30" s="240" t="s">
        <v>6</v>
      </c>
      <c r="B30" s="241"/>
      <c r="C30" s="241"/>
      <c r="D30" s="241"/>
      <c r="E30" s="241"/>
      <c r="F30" s="241"/>
      <c r="G30" s="241"/>
      <c r="H30" s="241"/>
      <c r="I30" s="241"/>
      <c r="J30" s="241"/>
    </row>
    <row r="31" spans="1:10" ht="18" hidden="1">
      <c r="A31" s="242" t="s">
        <v>7</v>
      </c>
      <c r="B31" s="242"/>
      <c r="C31" s="242"/>
      <c r="D31" s="242"/>
      <c r="E31" s="242"/>
      <c r="F31" s="242"/>
      <c r="G31" s="242"/>
      <c r="H31" s="242"/>
      <c r="I31" s="242"/>
      <c r="J31" s="242"/>
    </row>
    <row r="32" spans="1:17" ht="18" hidden="1">
      <c r="A32" s="242" t="s">
        <v>8</v>
      </c>
      <c r="B32" s="242"/>
      <c r="C32" s="242"/>
      <c r="D32" s="242"/>
      <c r="E32" s="242"/>
      <c r="F32" s="242"/>
      <c r="G32" s="242"/>
      <c r="H32" s="242"/>
      <c r="I32" s="242"/>
      <c r="J32" s="242"/>
      <c r="M32" s="251"/>
      <c r="N32" s="251"/>
      <c r="O32" s="251"/>
      <c r="P32" s="251"/>
      <c r="Q32" s="251"/>
    </row>
    <row r="33" spans="1:17" ht="15" hidden="1">
      <c r="A33" s="243" t="s">
        <v>20</v>
      </c>
      <c r="B33" s="243"/>
      <c r="C33" s="243"/>
      <c r="D33" s="243"/>
      <c r="E33" s="243"/>
      <c r="F33" s="243"/>
      <c r="G33" s="243"/>
      <c r="H33" s="243"/>
      <c r="I33" s="243"/>
      <c r="J33" s="243"/>
      <c r="M33" s="252"/>
      <c r="N33" s="252"/>
      <c r="O33" s="252"/>
      <c r="P33" s="252"/>
      <c r="Q33" s="252"/>
    </row>
    <row r="34" spans="1:17" ht="18" hidden="1">
      <c r="A34" s="254" t="s">
        <v>16</v>
      </c>
      <c r="B34" s="254"/>
      <c r="C34" s="254"/>
      <c r="D34" s="254"/>
      <c r="E34" s="254"/>
      <c r="F34" s="254"/>
      <c r="G34" s="254"/>
      <c r="H34" s="254"/>
      <c r="I34" s="254"/>
      <c r="J34" s="254"/>
      <c r="M34" s="255"/>
      <c r="N34" s="255"/>
      <c r="O34" s="255"/>
      <c r="P34" s="255"/>
      <c r="Q34" s="255"/>
    </row>
    <row r="35" spans="1:10" ht="18" hidden="1">
      <c r="A35" s="242" t="s">
        <v>8</v>
      </c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5" hidden="1">
      <c r="A36" s="243" t="s">
        <v>21</v>
      </c>
      <c r="B36" s="243"/>
      <c r="C36" s="243"/>
      <c r="D36" s="243"/>
      <c r="E36" s="243"/>
      <c r="F36" s="243"/>
      <c r="G36" s="243"/>
      <c r="H36" s="243"/>
      <c r="I36" s="243"/>
      <c r="J36" s="243"/>
    </row>
    <row r="37" spans="1:10" ht="18" hidden="1">
      <c r="A37" s="254" t="s">
        <v>16</v>
      </c>
      <c r="B37" s="254"/>
      <c r="C37" s="254"/>
      <c r="D37" s="254"/>
      <c r="E37" s="254"/>
      <c r="F37" s="254"/>
      <c r="G37" s="254"/>
      <c r="H37" s="254"/>
      <c r="I37" s="254"/>
      <c r="J37" s="254"/>
    </row>
    <row r="38" spans="9:10" ht="12.75">
      <c r="I38" s="253"/>
      <c r="J38" s="253"/>
    </row>
    <row r="44" spans="4:6" ht="15.75">
      <c r="D44" s="237"/>
      <c r="E44" s="237"/>
      <c r="F44" s="237"/>
    </row>
    <row r="45" spans="4:6" ht="12.75">
      <c r="D45" s="238"/>
      <c r="E45" s="238"/>
      <c r="F45" s="238"/>
    </row>
    <row r="46" spans="4:6" ht="12.75">
      <c r="D46" s="238"/>
      <c r="E46" s="238"/>
      <c r="F46" s="238"/>
    </row>
  </sheetData>
  <sheetProtection/>
  <mergeCells count="35">
    <mergeCell ref="I38:J38"/>
    <mergeCell ref="A32:J32"/>
    <mergeCell ref="A34:J34"/>
    <mergeCell ref="M34:Q34"/>
    <mergeCell ref="A35:J35"/>
    <mergeCell ref="A36:J36"/>
    <mergeCell ref="A37:J37"/>
    <mergeCell ref="G7:G8"/>
    <mergeCell ref="H7:H8"/>
    <mergeCell ref="M32:Q32"/>
    <mergeCell ref="A33:J33"/>
    <mergeCell ref="M33:Q33"/>
    <mergeCell ref="A31:J31"/>
    <mergeCell ref="E29:F29"/>
    <mergeCell ref="A7:A8"/>
    <mergeCell ref="B7:B8"/>
    <mergeCell ref="C7:C8"/>
    <mergeCell ref="D7:D8"/>
    <mergeCell ref="E7:E8"/>
    <mergeCell ref="D44:F44"/>
    <mergeCell ref="D45:F45"/>
    <mergeCell ref="D46:F46"/>
    <mergeCell ref="A6:J6"/>
    <mergeCell ref="A1:J1"/>
    <mergeCell ref="A2:J2"/>
    <mergeCell ref="A3:J3"/>
    <mergeCell ref="A4:D4"/>
    <mergeCell ref="A5:D5"/>
    <mergeCell ref="I7:I8"/>
    <mergeCell ref="J7:J8"/>
    <mergeCell ref="F7:F8"/>
    <mergeCell ref="I29:J29"/>
    <mergeCell ref="A30:J30"/>
    <mergeCell ref="E28:F28"/>
    <mergeCell ref="I28:J28"/>
  </mergeCells>
  <printOptions horizontalCentered="1"/>
  <pageMargins left="0.5905511811023623" right="0.5905511811023623" top="1.968503937007874" bottom="0.3937007874015748" header="0" footer="0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view="pageBreakPreview" zoomScaleSheetLayoutView="100" zoomScalePageLayoutView="0" workbookViewId="0" topLeftCell="A131">
      <selection activeCell="C143" sqref="C143:E145"/>
    </sheetView>
  </sheetViews>
  <sheetFormatPr defaultColWidth="9.140625" defaultRowHeight="12.75"/>
  <cols>
    <col min="1" max="1" width="14.00390625" style="0" customWidth="1"/>
    <col min="2" max="2" width="10.7109375" style="0" customWidth="1"/>
    <col min="3" max="3" width="47.57421875" style="0" customWidth="1"/>
    <col min="4" max="4" width="7.00390625" style="0" customWidth="1"/>
    <col min="5" max="5" width="9.28125" style="0" customWidth="1"/>
    <col min="6" max="6" width="12.140625" style="0" bestFit="1" customWidth="1"/>
    <col min="7" max="7" width="13.00390625" style="0" customWidth="1"/>
    <col min="9" max="9" width="34.7109375" style="0" bestFit="1" customWidth="1"/>
    <col min="11" max="11" width="46.421875" style="0" bestFit="1" customWidth="1"/>
  </cols>
  <sheetData>
    <row r="1" spans="1:8" ht="21.75" thickBot="1">
      <c r="A1" s="259" t="s">
        <v>36</v>
      </c>
      <c r="B1" s="260"/>
      <c r="C1" s="260"/>
      <c r="D1" s="260"/>
      <c r="E1" s="260"/>
      <c r="F1" s="260"/>
      <c r="G1" s="261"/>
      <c r="H1" s="68"/>
    </row>
    <row r="2" spans="1:7" s="69" customFormat="1" ht="31.5">
      <c r="A2" s="182"/>
      <c r="B2" s="268" t="s">
        <v>59</v>
      </c>
      <c r="C2" s="269"/>
      <c r="D2" s="269"/>
      <c r="E2" s="269"/>
      <c r="F2" s="270"/>
      <c r="G2" s="183" t="s">
        <v>104</v>
      </c>
    </row>
    <row r="3" spans="1:8" ht="31.5" customHeight="1">
      <c r="A3" s="184" t="s">
        <v>37</v>
      </c>
      <c r="B3" s="185" t="s">
        <v>11</v>
      </c>
      <c r="C3" s="186" t="s">
        <v>38</v>
      </c>
      <c r="D3" s="185" t="s">
        <v>39</v>
      </c>
      <c r="E3" s="185" t="s">
        <v>14</v>
      </c>
      <c r="F3" s="187" t="s">
        <v>40</v>
      </c>
      <c r="G3" s="188" t="s">
        <v>41</v>
      </c>
      <c r="H3" s="68"/>
    </row>
    <row r="4" spans="1:8" ht="31.5" customHeight="1">
      <c r="A4" s="189"/>
      <c r="B4" s="190"/>
      <c r="C4" s="191" t="s">
        <v>108</v>
      </c>
      <c r="D4" s="190"/>
      <c r="E4" s="190"/>
      <c r="F4" s="192"/>
      <c r="G4" s="193"/>
      <c r="H4" s="68"/>
    </row>
    <row r="5" spans="1:8" s="71" customFormat="1" ht="30">
      <c r="A5" s="194" t="s">
        <v>1</v>
      </c>
      <c r="B5" s="195">
        <v>90777</v>
      </c>
      <c r="C5" s="196" t="s">
        <v>109</v>
      </c>
      <c r="D5" s="195" t="s">
        <v>54</v>
      </c>
      <c r="E5" s="197">
        <f>4*4</f>
        <v>16</v>
      </c>
      <c r="F5" s="198">
        <v>84.83</v>
      </c>
      <c r="G5" s="199">
        <f>F5*E5</f>
        <v>1357.28</v>
      </c>
      <c r="H5" s="70"/>
    </row>
    <row r="6" spans="1:8" s="71" customFormat="1" ht="15">
      <c r="A6" s="194"/>
      <c r="B6" s="195">
        <v>90781</v>
      </c>
      <c r="C6" s="196" t="s">
        <v>110</v>
      </c>
      <c r="D6" s="195" t="s">
        <v>54</v>
      </c>
      <c r="E6" s="197">
        <v>8</v>
      </c>
      <c r="F6" s="198">
        <v>20.83</v>
      </c>
      <c r="G6" s="199">
        <f>F6*E6</f>
        <v>166.64</v>
      </c>
      <c r="H6" s="70"/>
    </row>
    <row r="7" spans="1:8" s="71" customFormat="1" ht="30">
      <c r="A7" s="194" t="s">
        <v>1</v>
      </c>
      <c r="B7" s="195">
        <v>90776</v>
      </c>
      <c r="C7" s="196" t="s">
        <v>111</v>
      </c>
      <c r="D7" s="195" t="s">
        <v>54</v>
      </c>
      <c r="E7" s="197">
        <f>(22*10)/2</f>
        <v>110</v>
      </c>
      <c r="F7" s="198">
        <v>36.89</v>
      </c>
      <c r="G7" s="199">
        <f>F7*E7</f>
        <v>4057.9</v>
      </c>
      <c r="H7" s="70"/>
    </row>
    <row r="8" spans="1:8" s="71" customFormat="1" ht="15">
      <c r="A8" s="194"/>
      <c r="B8" s="195"/>
      <c r="C8" s="196" t="s">
        <v>112</v>
      </c>
      <c r="D8" s="195"/>
      <c r="E8" s="197"/>
      <c r="F8" s="198"/>
      <c r="G8" s="199"/>
      <c r="H8" s="70"/>
    </row>
    <row r="9" spans="1:8" s="71" customFormat="1" ht="15">
      <c r="A9" s="194" t="s">
        <v>0</v>
      </c>
      <c r="B9" s="195" t="s">
        <v>45</v>
      </c>
      <c r="C9" s="196" t="s">
        <v>113</v>
      </c>
      <c r="D9" s="195" t="s">
        <v>54</v>
      </c>
      <c r="E9" s="197">
        <f>2*E5</f>
        <v>32</v>
      </c>
      <c r="F9" s="200">
        <v>45.2972</v>
      </c>
      <c r="G9" s="199">
        <f>F9*E9</f>
        <v>1449.5104</v>
      </c>
      <c r="H9" s="70"/>
    </row>
    <row r="10" spans="1:8" ht="18" customHeight="1">
      <c r="A10" s="271" t="s">
        <v>44</v>
      </c>
      <c r="B10" s="272"/>
      <c r="C10" s="273"/>
      <c r="D10" s="273"/>
      <c r="E10" s="262">
        <f>SUM(G5:G9)</f>
        <v>7031.3304</v>
      </c>
      <c r="F10" s="263"/>
      <c r="G10" s="264"/>
      <c r="H10" s="68"/>
    </row>
    <row r="11" spans="1:8" ht="15.75" thickBot="1">
      <c r="A11" s="201" t="s">
        <v>42</v>
      </c>
      <c r="B11" s="202"/>
      <c r="C11" s="265" t="s">
        <v>96</v>
      </c>
      <c r="D11" s="266"/>
      <c r="E11" s="266"/>
      <c r="F11" s="266"/>
      <c r="G11" s="267"/>
      <c r="H11" s="68"/>
    </row>
    <row r="12" spans="1:8" ht="23.25" customHeight="1" thickBot="1">
      <c r="A12" s="107"/>
      <c r="B12" s="108"/>
      <c r="C12" s="109"/>
      <c r="D12" s="110"/>
      <c r="E12" s="110"/>
      <c r="F12" s="110"/>
      <c r="G12" s="113"/>
      <c r="H12" s="68"/>
    </row>
    <row r="13" spans="1:7" s="69" customFormat="1" ht="30.75" customHeight="1">
      <c r="A13" s="182"/>
      <c r="B13" s="277" t="s">
        <v>106</v>
      </c>
      <c r="C13" s="277"/>
      <c r="D13" s="277"/>
      <c r="E13" s="277"/>
      <c r="F13" s="278"/>
      <c r="G13" s="183" t="s">
        <v>119</v>
      </c>
    </row>
    <row r="14" spans="1:8" ht="31.5" customHeight="1">
      <c r="A14" s="203" t="s">
        <v>37</v>
      </c>
      <c r="B14" s="185" t="s">
        <v>11</v>
      </c>
      <c r="C14" s="186" t="s">
        <v>38</v>
      </c>
      <c r="D14" s="185" t="s">
        <v>39</v>
      </c>
      <c r="E14" s="185" t="s">
        <v>14</v>
      </c>
      <c r="F14" s="187" t="s">
        <v>40</v>
      </c>
      <c r="G14" s="188" t="s">
        <v>41</v>
      </c>
      <c r="H14" s="68"/>
    </row>
    <row r="15" spans="1:8" s="71" customFormat="1" ht="60">
      <c r="A15" s="194" t="s">
        <v>1</v>
      </c>
      <c r="B15" s="195">
        <v>92778</v>
      </c>
      <c r="C15" s="118" t="s">
        <v>61</v>
      </c>
      <c r="D15" s="195" t="s">
        <v>107</v>
      </c>
      <c r="E15" s="197">
        <f>12*0.617</f>
        <v>7.404</v>
      </c>
      <c r="F15" s="198">
        <v>8.53</v>
      </c>
      <c r="G15" s="199">
        <f aca="true" t="shared" si="0" ref="G15:G24">E15*F15</f>
        <v>63.156119999999994</v>
      </c>
      <c r="H15" s="70"/>
    </row>
    <row r="16" spans="1:8" s="71" customFormat="1" ht="60">
      <c r="A16" s="194" t="s">
        <v>1</v>
      </c>
      <c r="B16" s="195">
        <v>92777</v>
      </c>
      <c r="C16" s="204" t="s">
        <v>70</v>
      </c>
      <c r="D16" s="195" t="s">
        <v>107</v>
      </c>
      <c r="E16" s="197">
        <f>10*0.395</f>
        <v>3.95</v>
      </c>
      <c r="F16" s="198">
        <v>10.58</v>
      </c>
      <c r="G16" s="199">
        <f t="shared" si="0"/>
        <v>41.791000000000004</v>
      </c>
      <c r="H16" s="70"/>
    </row>
    <row r="17" spans="1:7" s="181" customFormat="1" ht="75">
      <c r="A17" s="194" t="s">
        <v>1</v>
      </c>
      <c r="B17" s="205">
        <v>92775</v>
      </c>
      <c r="C17" s="204" t="s">
        <v>142</v>
      </c>
      <c r="D17" s="195" t="s">
        <v>107</v>
      </c>
      <c r="E17" s="197">
        <f>(((2*5*0.62)+(2*5*1.32)+(1*5*1.66))*0.158)*1.1</f>
        <v>4.814260000000001</v>
      </c>
      <c r="F17" s="198">
        <v>13.16</v>
      </c>
      <c r="G17" s="199">
        <f t="shared" si="0"/>
        <v>63.35566160000001</v>
      </c>
    </row>
    <row r="18" spans="1:8" s="71" customFormat="1" ht="45">
      <c r="A18" s="194" t="s">
        <v>1</v>
      </c>
      <c r="B18" s="205">
        <v>96533</v>
      </c>
      <c r="C18" s="118" t="s">
        <v>147</v>
      </c>
      <c r="D18" s="195" t="s">
        <v>52</v>
      </c>
      <c r="E18" s="197">
        <f>0.65*2+0.45*2</f>
        <v>2.2</v>
      </c>
      <c r="F18" s="198">
        <v>83.66</v>
      </c>
      <c r="G18" s="199">
        <f t="shared" si="0"/>
        <v>184.05200000000002</v>
      </c>
      <c r="H18" s="70"/>
    </row>
    <row r="19" spans="1:8" s="71" customFormat="1" ht="75">
      <c r="A19" s="194" t="s">
        <v>1</v>
      </c>
      <c r="B19" s="205">
        <v>34493</v>
      </c>
      <c r="C19" s="118" t="s">
        <v>65</v>
      </c>
      <c r="D19" s="195" t="s">
        <v>53</v>
      </c>
      <c r="E19" s="197">
        <f>1.163*0.266</f>
        <v>0.309358</v>
      </c>
      <c r="F19" s="198">
        <v>256.06</v>
      </c>
      <c r="G19" s="199">
        <f t="shared" si="0"/>
        <v>79.21420948000001</v>
      </c>
      <c r="H19" s="70"/>
    </row>
    <row r="20" spans="1:8" s="71" customFormat="1" ht="15">
      <c r="A20" s="194" t="s">
        <v>1</v>
      </c>
      <c r="B20" s="206">
        <v>88309</v>
      </c>
      <c r="C20" s="207" t="s">
        <v>48</v>
      </c>
      <c r="D20" s="205" t="s">
        <v>54</v>
      </c>
      <c r="E20" s="197">
        <v>0.118</v>
      </c>
      <c r="F20" s="198">
        <v>22.38</v>
      </c>
      <c r="G20" s="197">
        <f t="shared" si="0"/>
        <v>2.64084</v>
      </c>
      <c r="H20" s="70"/>
    </row>
    <row r="21" spans="1:8" s="71" customFormat="1" ht="15">
      <c r="A21" s="194" t="s">
        <v>1</v>
      </c>
      <c r="B21" s="206">
        <v>88316</v>
      </c>
      <c r="C21" s="208" t="s">
        <v>51</v>
      </c>
      <c r="D21" s="206" t="s">
        <v>54</v>
      </c>
      <c r="E21" s="197">
        <v>0.12</v>
      </c>
      <c r="F21" s="198">
        <v>16.54</v>
      </c>
      <c r="G21" s="197">
        <f t="shared" si="0"/>
        <v>1.9848</v>
      </c>
      <c r="H21" s="70"/>
    </row>
    <row r="22" spans="1:8" s="71" customFormat="1" ht="49.5" customHeight="1">
      <c r="A22" s="194" t="s">
        <v>1</v>
      </c>
      <c r="B22" s="206">
        <v>90586</v>
      </c>
      <c r="C22" s="209" t="s">
        <v>66</v>
      </c>
      <c r="D22" s="206" t="s">
        <v>67</v>
      </c>
      <c r="E22" s="210">
        <v>0.015</v>
      </c>
      <c r="F22" s="198">
        <v>1.33</v>
      </c>
      <c r="G22" s="197">
        <f t="shared" si="0"/>
        <v>0.01995</v>
      </c>
      <c r="H22" s="70"/>
    </row>
    <row r="23" spans="1:8" s="71" customFormat="1" ht="45.75" customHeight="1">
      <c r="A23" s="194" t="s">
        <v>1</v>
      </c>
      <c r="B23" s="206">
        <v>90587</v>
      </c>
      <c r="C23" s="209" t="s">
        <v>68</v>
      </c>
      <c r="D23" s="206" t="s">
        <v>69</v>
      </c>
      <c r="E23" s="206">
        <v>0.014</v>
      </c>
      <c r="F23" s="198">
        <v>0.29</v>
      </c>
      <c r="G23" s="211">
        <f t="shared" si="0"/>
        <v>0.004059999999999999</v>
      </c>
      <c r="H23" s="70"/>
    </row>
    <row r="24" spans="1:8" s="71" customFormat="1" ht="30">
      <c r="A24" s="194" t="s">
        <v>1</v>
      </c>
      <c r="B24" s="206">
        <v>4718</v>
      </c>
      <c r="C24" s="209" t="s">
        <v>71</v>
      </c>
      <c r="D24" s="206" t="s">
        <v>53</v>
      </c>
      <c r="E24" s="212">
        <f>0.05*0.7</f>
        <v>0.034999999999999996</v>
      </c>
      <c r="F24" s="198">
        <v>62.5</v>
      </c>
      <c r="G24" s="197">
        <f t="shared" si="0"/>
        <v>2.1874999999999996</v>
      </c>
      <c r="H24" s="70"/>
    </row>
    <row r="25" spans="1:8" ht="18" customHeight="1">
      <c r="A25" s="279" t="s">
        <v>44</v>
      </c>
      <c r="B25" s="272"/>
      <c r="C25" s="272"/>
      <c r="D25" s="272"/>
      <c r="E25" s="280">
        <f>SUM(G15:G24)</f>
        <v>438.40614108000005</v>
      </c>
      <c r="F25" s="281"/>
      <c r="G25" s="282"/>
      <c r="H25" s="68"/>
    </row>
    <row r="26" spans="1:8" ht="15.75" thickBot="1">
      <c r="A26" s="213" t="s">
        <v>42</v>
      </c>
      <c r="B26" s="214"/>
      <c r="C26" s="274" t="s">
        <v>96</v>
      </c>
      <c r="D26" s="275"/>
      <c r="E26" s="275"/>
      <c r="F26" s="275"/>
      <c r="G26" s="276"/>
      <c r="H26" s="68"/>
    </row>
    <row r="27" spans="1:8" ht="15.75" thickBot="1">
      <c r="A27" s="107"/>
      <c r="B27" s="108"/>
      <c r="C27" s="215"/>
      <c r="D27" s="216"/>
      <c r="E27" s="216"/>
      <c r="F27" s="216"/>
      <c r="G27" s="217"/>
      <c r="H27" s="68"/>
    </row>
    <row r="28" spans="1:8" ht="15.75">
      <c r="A28" s="182"/>
      <c r="B28" s="277" t="s">
        <v>143</v>
      </c>
      <c r="C28" s="277"/>
      <c r="D28" s="277"/>
      <c r="E28" s="277"/>
      <c r="F28" s="277"/>
      <c r="G28" s="218" t="s">
        <v>119</v>
      </c>
      <c r="H28" s="68"/>
    </row>
    <row r="29" spans="1:8" ht="15">
      <c r="A29" s="203" t="s">
        <v>37</v>
      </c>
      <c r="B29" s="185" t="s">
        <v>11</v>
      </c>
      <c r="C29" s="186" t="s">
        <v>38</v>
      </c>
      <c r="D29" s="185" t="s">
        <v>39</v>
      </c>
      <c r="E29" s="185" t="s">
        <v>14</v>
      </c>
      <c r="F29" s="187" t="s">
        <v>40</v>
      </c>
      <c r="G29" s="219" t="s">
        <v>41</v>
      </c>
      <c r="H29" s="68"/>
    </row>
    <row r="30" spans="1:8" ht="42" customHeight="1">
      <c r="A30" s="194" t="s">
        <v>1</v>
      </c>
      <c r="B30" s="212">
        <v>11245</v>
      </c>
      <c r="C30" s="220" t="s">
        <v>144</v>
      </c>
      <c r="D30" s="195" t="s">
        <v>39</v>
      </c>
      <c r="E30" s="197">
        <v>1</v>
      </c>
      <c r="F30" s="198">
        <f>195.58*(450/300)</f>
        <v>293.37</v>
      </c>
      <c r="G30" s="199">
        <f>E30*F30</f>
        <v>293.37</v>
      </c>
      <c r="H30" s="68"/>
    </row>
    <row r="31" spans="1:8" ht="18" customHeight="1">
      <c r="A31" s="221" t="s">
        <v>1</v>
      </c>
      <c r="B31" s="205">
        <v>88316</v>
      </c>
      <c r="C31" s="167" t="s">
        <v>51</v>
      </c>
      <c r="D31" s="205" t="s">
        <v>39</v>
      </c>
      <c r="E31" s="222">
        <v>0.16</v>
      </c>
      <c r="F31" s="223">
        <v>16.54</v>
      </c>
      <c r="G31" s="224">
        <f>E31*F31</f>
        <v>2.6464</v>
      </c>
      <c r="H31" s="68"/>
    </row>
    <row r="32" spans="1:8" ht="18" customHeight="1">
      <c r="A32" s="271" t="s">
        <v>44</v>
      </c>
      <c r="B32" s="273"/>
      <c r="C32" s="273"/>
      <c r="D32" s="273"/>
      <c r="E32" s="262">
        <f>SUM(G30:G31)</f>
        <v>296.0164</v>
      </c>
      <c r="F32" s="263"/>
      <c r="G32" s="264"/>
      <c r="H32" s="68"/>
    </row>
    <row r="33" spans="1:8" ht="26.25" customHeight="1" thickBot="1">
      <c r="A33" s="201" t="s">
        <v>42</v>
      </c>
      <c r="B33" s="202"/>
      <c r="C33" s="265" t="s">
        <v>96</v>
      </c>
      <c r="D33" s="266"/>
      <c r="E33" s="266"/>
      <c r="F33" s="266"/>
      <c r="G33" s="267"/>
      <c r="H33" s="68"/>
    </row>
    <row r="34" spans="1:8" ht="15.75" thickBot="1">
      <c r="A34" s="225"/>
      <c r="B34" s="226"/>
      <c r="C34" s="168"/>
      <c r="D34" s="226"/>
      <c r="E34" s="227"/>
      <c r="F34" s="228"/>
      <c r="G34" s="229"/>
      <c r="H34" s="68"/>
    </row>
    <row r="35" spans="1:8" ht="24" customHeight="1">
      <c r="A35" s="230"/>
      <c r="B35" s="289" t="s">
        <v>114</v>
      </c>
      <c r="C35" s="277"/>
      <c r="D35" s="277"/>
      <c r="E35" s="277"/>
      <c r="F35" s="278"/>
      <c r="G35" s="231" t="s">
        <v>119</v>
      </c>
      <c r="H35" s="68"/>
    </row>
    <row r="36" spans="1:7" ht="15">
      <c r="A36" s="203" t="s">
        <v>37</v>
      </c>
      <c r="B36" s="232" t="s">
        <v>11</v>
      </c>
      <c r="C36" s="233" t="s">
        <v>38</v>
      </c>
      <c r="D36" s="232" t="s">
        <v>39</v>
      </c>
      <c r="E36" s="232" t="s">
        <v>14</v>
      </c>
      <c r="F36" s="234" t="s">
        <v>40</v>
      </c>
      <c r="G36" s="219" t="s">
        <v>41</v>
      </c>
    </row>
    <row r="37" spans="1:8" ht="60">
      <c r="A37" s="194" t="s">
        <v>1</v>
      </c>
      <c r="B37" s="195">
        <v>92778</v>
      </c>
      <c r="C37" s="118" t="s">
        <v>61</v>
      </c>
      <c r="D37" s="195" t="s">
        <v>107</v>
      </c>
      <c r="E37" s="197">
        <f>4*0.617</f>
        <v>2.468</v>
      </c>
      <c r="F37" s="198">
        <v>8.53</v>
      </c>
      <c r="G37" s="199">
        <f aca="true" t="shared" si="1" ref="G37:G46">E37*F37</f>
        <v>21.052039999999998</v>
      </c>
      <c r="H37" s="68"/>
    </row>
    <row r="38" spans="1:8" ht="60">
      <c r="A38" s="194" t="s">
        <v>1</v>
      </c>
      <c r="B38" s="195">
        <v>92777</v>
      </c>
      <c r="C38" s="204" t="s">
        <v>70</v>
      </c>
      <c r="D38" s="195" t="s">
        <v>107</v>
      </c>
      <c r="E38" s="197">
        <f>4*0.395</f>
        <v>1.58</v>
      </c>
      <c r="F38" s="198">
        <v>10.58</v>
      </c>
      <c r="G38" s="199">
        <f t="shared" si="1"/>
        <v>16.7164</v>
      </c>
      <c r="H38" s="68"/>
    </row>
    <row r="39" spans="1:8" ht="75">
      <c r="A39" s="194" t="s">
        <v>1</v>
      </c>
      <c r="B39" s="205">
        <v>92775</v>
      </c>
      <c r="C39" s="204" t="s">
        <v>142</v>
      </c>
      <c r="D39" s="195" t="s">
        <v>107</v>
      </c>
      <c r="E39" s="197">
        <f>(((2*1.67*0.21)+(1*5*1.46))*0.158)*1.1</f>
        <v>1.3906433200000003</v>
      </c>
      <c r="F39" s="198">
        <v>13.16</v>
      </c>
      <c r="G39" s="199">
        <f t="shared" si="1"/>
        <v>18.300866091200003</v>
      </c>
      <c r="H39" s="68"/>
    </row>
    <row r="40" spans="1:8" ht="51.75" customHeight="1">
      <c r="A40" s="194" t="s">
        <v>1</v>
      </c>
      <c r="B40" s="205">
        <v>96533</v>
      </c>
      <c r="C40" s="118" t="s">
        <v>146</v>
      </c>
      <c r="D40" s="195" t="s">
        <v>52</v>
      </c>
      <c r="E40" s="197">
        <f>(0.65*2+0.15)</f>
        <v>1.45</v>
      </c>
      <c r="F40" s="198">
        <v>83.66</v>
      </c>
      <c r="G40" s="199">
        <f t="shared" si="1"/>
        <v>121.30699999999999</v>
      </c>
      <c r="H40" s="68"/>
    </row>
    <row r="41" spans="1:8" ht="75">
      <c r="A41" s="194" t="s">
        <v>1</v>
      </c>
      <c r="B41" s="205">
        <v>34493</v>
      </c>
      <c r="C41" s="118" t="s">
        <v>65</v>
      </c>
      <c r="D41" s="195" t="s">
        <v>53</v>
      </c>
      <c r="E41" s="197">
        <f>(0.65*0.15)*1.095</f>
        <v>0.1067625</v>
      </c>
      <c r="F41" s="198">
        <v>256.06</v>
      </c>
      <c r="G41" s="199">
        <f t="shared" si="1"/>
        <v>27.337605749999998</v>
      </c>
      <c r="H41" s="68"/>
    </row>
    <row r="42" spans="1:8" ht="18" customHeight="1">
      <c r="A42" s="194" t="s">
        <v>1</v>
      </c>
      <c r="B42" s="206">
        <v>88309</v>
      </c>
      <c r="C42" s="207" t="s">
        <v>48</v>
      </c>
      <c r="D42" s="205" t="s">
        <v>54</v>
      </c>
      <c r="E42" s="197">
        <f>(0.65*0.15)*0.442</f>
        <v>0.043095</v>
      </c>
      <c r="F42" s="198">
        <v>22.38</v>
      </c>
      <c r="G42" s="197">
        <f t="shared" si="1"/>
        <v>0.9644661</v>
      </c>
      <c r="H42" s="68"/>
    </row>
    <row r="43" spans="1:8" ht="15">
      <c r="A43" s="194" t="s">
        <v>1</v>
      </c>
      <c r="B43" s="206">
        <v>88316</v>
      </c>
      <c r="C43" s="208" t="s">
        <v>51</v>
      </c>
      <c r="D43" s="206" t="s">
        <v>54</v>
      </c>
      <c r="E43" s="235">
        <f>(0.65*0.15)*0.442</f>
        <v>0.043095</v>
      </c>
      <c r="F43" s="198">
        <v>16.54</v>
      </c>
      <c r="G43" s="197">
        <f t="shared" si="1"/>
        <v>0.7127913</v>
      </c>
      <c r="H43" s="68"/>
    </row>
    <row r="44" spans="1:8" ht="45">
      <c r="A44" s="194" t="s">
        <v>1</v>
      </c>
      <c r="B44" s="206">
        <v>90586</v>
      </c>
      <c r="C44" s="209" t="s">
        <v>66</v>
      </c>
      <c r="D44" s="206" t="s">
        <v>67</v>
      </c>
      <c r="E44" s="236">
        <f>(0.65*0.15)*0.058</f>
        <v>0.005655</v>
      </c>
      <c r="F44" s="198">
        <v>1.33</v>
      </c>
      <c r="G44" s="197">
        <f t="shared" si="1"/>
        <v>0.007521150000000001</v>
      </c>
      <c r="H44" s="68"/>
    </row>
    <row r="45" spans="1:8" ht="30.75" customHeight="1">
      <c r="A45" s="75" t="s">
        <v>1</v>
      </c>
      <c r="B45" s="115">
        <v>90587</v>
      </c>
      <c r="C45" s="122" t="s">
        <v>68</v>
      </c>
      <c r="D45" s="115" t="s">
        <v>69</v>
      </c>
      <c r="E45" s="124">
        <f>(0.65*0.15)*0.053</f>
        <v>0.0051675</v>
      </c>
      <c r="F45" s="78">
        <v>0.29</v>
      </c>
      <c r="G45" s="123">
        <f t="shared" si="1"/>
        <v>0.001498575</v>
      </c>
      <c r="H45" s="68"/>
    </row>
    <row r="46" spans="1:8" ht="30">
      <c r="A46" s="75" t="s">
        <v>1</v>
      </c>
      <c r="B46" s="115">
        <v>4718</v>
      </c>
      <c r="C46" s="122" t="s">
        <v>71</v>
      </c>
      <c r="D46" s="115" t="s">
        <v>53</v>
      </c>
      <c r="E46" s="117">
        <f>0.05*0.15</f>
        <v>0.0075</v>
      </c>
      <c r="F46" s="78">
        <v>62.5</v>
      </c>
      <c r="G46" s="77">
        <f t="shared" si="1"/>
        <v>0.46875</v>
      </c>
      <c r="H46" s="68"/>
    </row>
    <row r="47" spans="1:8" ht="15">
      <c r="A47" s="283" t="s">
        <v>44</v>
      </c>
      <c r="B47" s="284"/>
      <c r="C47" s="285"/>
      <c r="D47" s="285"/>
      <c r="E47" s="286">
        <f>SUM(G37:G46)</f>
        <v>206.86893896619998</v>
      </c>
      <c r="F47" s="287"/>
      <c r="G47" s="288"/>
      <c r="H47" s="68"/>
    </row>
    <row r="48" spans="1:8" ht="15.75" thickBot="1">
      <c r="A48" s="156" t="s">
        <v>42</v>
      </c>
      <c r="B48" s="157"/>
      <c r="C48" s="256" t="s">
        <v>95</v>
      </c>
      <c r="D48" s="257"/>
      <c r="E48" s="257"/>
      <c r="F48" s="257"/>
      <c r="G48" s="258"/>
      <c r="H48" s="68"/>
    </row>
    <row r="49" spans="1:8" ht="15.75" thickBot="1">
      <c r="A49" s="151"/>
      <c r="B49" s="152"/>
      <c r="C49" s="153"/>
      <c r="D49" s="154"/>
      <c r="E49" s="154"/>
      <c r="F49" s="154"/>
      <c r="G49" s="155"/>
      <c r="H49" s="68"/>
    </row>
    <row r="50" spans="1:7" ht="32.25" thickBot="1">
      <c r="A50" s="162"/>
      <c r="B50" s="296" t="s">
        <v>128</v>
      </c>
      <c r="C50" s="296"/>
      <c r="D50" s="296"/>
      <c r="E50" s="296"/>
      <c r="F50" s="297"/>
      <c r="G50" s="163" t="s">
        <v>120</v>
      </c>
    </row>
    <row r="51" spans="1:7" ht="15">
      <c r="A51" s="112" t="s">
        <v>37</v>
      </c>
      <c r="B51" s="158" t="s">
        <v>11</v>
      </c>
      <c r="C51" s="159" t="s">
        <v>38</v>
      </c>
      <c r="D51" s="158" t="s">
        <v>39</v>
      </c>
      <c r="E51" s="158" t="s">
        <v>14</v>
      </c>
      <c r="F51" s="160" t="s">
        <v>40</v>
      </c>
      <c r="G51" s="161" t="s">
        <v>41</v>
      </c>
    </row>
    <row r="52" spans="1:7" ht="60">
      <c r="A52" s="75" t="s">
        <v>43</v>
      </c>
      <c r="B52" s="76">
        <v>92777</v>
      </c>
      <c r="C52" s="119" t="s">
        <v>70</v>
      </c>
      <c r="D52" s="76" t="s">
        <v>107</v>
      </c>
      <c r="E52" s="77">
        <f>304*0.395</f>
        <v>120.08000000000001</v>
      </c>
      <c r="F52" s="78">
        <v>10.58</v>
      </c>
      <c r="G52" s="79">
        <f aca="true" t="shared" si="2" ref="G52:G62">E52*F52</f>
        <v>1270.4464</v>
      </c>
    </row>
    <row r="53" spans="1:7" ht="51" customHeight="1">
      <c r="A53" s="75" t="s">
        <v>43</v>
      </c>
      <c r="B53" s="114">
        <v>96536</v>
      </c>
      <c r="C53" s="118" t="s">
        <v>64</v>
      </c>
      <c r="D53" s="76" t="s">
        <v>52</v>
      </c>
      <c r="E53" s="77">
        <f>35.88/4</f>
        <v>8.97</v>
      </c>
      <c r="F53" s="78">
        <v>59.38</v>
      </c>
      <c r="G53" s="79">
        <f t="shared" si="2"/>
        <v>532.6386000000001</v>
      </c>
    </row>
    <row r="54" spans="1:7" ht="44.25" customHeight="1">
      <c r="A54" s="142" t="s">
        <v>1</v>
      </c>
      <c r="B54" s="142">
        <v>7156</v>
      </c>
      <c r="C54" s="140" t="s">
        <v>86</v>
      </c>
      <c r="D54" s="142" t="s">
        <v>52</v>
      </c>
      <c r="E54" s="164">
        <f>1.1224*(8*3)</f>
        <v>26.937600000000003</v>
      </c>
      <c r="F54" s="131">
        <v>19.29</v>
      </c>
      <c r="G54" s="79">
        <f t="shared" si="2"/>
        <v>519.626304</v>
      </c>
    </row>
    <row r="55" spans="1:7" ht="27" customHeight="1">
      <c r="A55" s="75" t="s">
        <v>43</v>
      </c>
      <c r="B55" s="114">
        <v>34493</v>
      </c>
      <c r="C55" s="118" t="s">
        <v>88</v>
      </c>
      <c r="D55" s="76" t="s">
        <v>53</v>
      </c>
      <c r="E55" s="77">
        <f>(0.533*8)+(0.072*3*2)</f>
        <v>4.696</v>
      </c>
      <c r="F55" s="78">
        <v>256.06</v>
      </c>
      <c r="G55" s="79">
        <f t="shared" si="2"/>
        <v>1202.45776</v>
      </c>
    </row>
    <row r="56" spans="1:7" ht="17.25" customHeight="1">
      <c r="A56" s="75" t="s">
        <v>43</v>
      </c>
      <c r="B56" s="115">
        <v>88309</v>
      </c>
      <c r="C56" s="121" t="s">
        <v>48</v>
      </c>
      <c r="D56" s="114" t="s">
        <v>54</v>
      </c>
      <c r="E56" s="77">
        <f>0.641*E55</f>
        <v>3.0101359999999997</v>
      </c>
      <c r="F56" s="78">
        <v>22.38</v>
      </c>
      <c r="G56" s="77">
        <f t="shared" si="2"/>
        <v>67.36684367999999</v>
      </c>
    </row>
    <row r="57" spans="1:7" ht="18" customHeight="1">
      <c r="A57" s="75" t="s">
        <v>43</v>
      </c>
      <c r="B57" s="115">
        <v>88316</v>
      </c>
      <c r="C57" s="120" t="s">
        <v>51</v>
      </c>
      <c r="D57" s="115" t="s">
        <v>54</v>
      </c>
      <c r="E57" s="77">
        <f>0.722*E55</f>
        <v>3.3905119999999997</v>
      </c>
      <c r="F57" s="78">
        <v>16.54</v>
      </c>
      <c r="G57" s="77">
        <f t="shared" si="2"/>
        <v>56.07906847999999</v>
      </c>
    </row>
    <row r="58" spans="1:7" ht="45">
      <c r="A58" s="75" t="s">
        <v>43</v>
      </c>
      <c r="B58" s="115">
        <v>90586</v>
      </c>
      <c r="C58" s="122" t="s">
        <v>66</v>
      </c>
      <c r="D58" s="115" t="s">
        <v>67</v>
      </c>
      <c r="E58" s="116">
        <f>0.059*E55</f>
        <v>0.277064</v>
      </c>
      <c r="F58" s="78">
        <v>1.33</v>
      </c>
      <c r="G58" s="77">
        <f t="shared" si="2"/>
        <v>0.36849512</v>
      </c>
    </row>
    <row r="59" spans="1:7" ht="45">
      <c r="A59" s="75" t="s">
        <v>43</v>
      </c>
      <c r="B59" s="115">
        <v>90587</v>
      </c>
      <c r="C59" s="122" t="s">
        <v>68</v>
      </c>
      <c r="D59" s="115" t="s">
        <v>69</v>
      </c>
      <c r="E59" s="115">
        <f>0.101*E55</f>
        <v>0.474296</v>
      </c>
      <c r="F59" s="78">
        <v>0.29</v>
      </c>
      <c r="G59" s="123">
        <f t="shared" si="2"/>
        <v>0.13754584</v>
      </c>
    </row>
    <row r="60" spans="1:7" ht="15">
      <c r="A60" s="75" t="s">
        <v>43</v>
      </c>
      <c r="B60" s="115">
        <v>83668</v>
      </c>
      <c r="C60" s="122" t="s">
        <v>92</v>
      </c>
      <c r="D60" s="115" t="s">
        <v>53</v>
      </c>
      <c r="E60" s="117">
        <f>(0.35*0.15*8)</f>
        <v>0.42</v>
      </c>
      <c r="F60" s="78">
        <v>109.27</v>
      </c>
      <c r="G60" s="77">
        <f t="shared" si="2"/>
        <v>45.8934</v>
      </c>
    </row>
    <row r="61" spans="1:7" ht="30">
      <c r="A61" s="165" t="s">
        <v>43</v>
      </c>
      <c r="B61" s="115">
        <v>83665</v>
      </c>
      <c r="C61" s="122" t="s">
        <v>93</v>
      </c>
      <c r="D61" s="115" t="s">
        <v>52</v>
      </c>
      <c r="E61" s="117">
        <f>(0.15+0.15+0.35+0.35)*8</f>
        <v>7.999999999999999</v>
      </c>
      <c r="F61" s="78">
        <v>5.5</v>
      </c>
      <c r="G61" s="77">
        <f t="shared" si="2"/>
        <v>43.99999999999999</v>
      </c>
    </row>
    <row r="62" spans="1:7" ht="15">
      <c r="A62" s="165" t="s">
        <v>43</v>
      </c>
      <c r="B62" s="115">
        <v>83667</v>
      </c>
      <c r="C62" s="122" t="s">
        <v>94</v>
      </c>
      <c r="D62" s="115" t="s">
        <v>53</v>
      </c>
      <c r="E62" s="117">
        <f>1.264*8</f>
        <v>10.112</v>
      </c>
      <c r="F62" s="78">
        <v>114.77</v>
      </c>
      <c r="G62" s="77">
        <f t="shared" si="2"/>
        <v>1160.55424</v>
      </c>
    </row>
    <row r="63" spans="1:7" ht="15">
      <c r="A63" s="298" t="s">
        <v>44</v>
      </c>
      <c r="B63" s="284"/>
      <c r="C63" s="284"/>
      <c r="D63" s="284"/>
      <c r="E63" s="299">
        <f>SUM(G52:G62)</f>
        <v>4899.5686571199985</v>
      </c>
      <c r="F63" s="300"/>
      <c r="G63" s="301"/>
    </row>
    <row r="64" spans="1:7" ht="15.75" thickBot="1">
      <c r="A64" s="156" t="s">
        <v>42</v>
      </c>
      <c r="B64" s="157"/>
      <c r="C64" s="256" t="s">
        <v>96</v>
      </c>
      <c r="D64" s="257"/>
      <c r="E64" s="257"/>
      <c r="F64" s="257"/>
      <c r="G64" s="258"/>
    </row>
    <row r="65" spans="1:7" ht="15.75" thickBot="1">
      <c r="A65" s="151"/>
      <c r="B65" s="152"/>
      <c r="C65" s="153"/>
      <c r="D65" s="154"/>
      <c r="E65" s="154"/>
      <c r="F65" s="154"/>
      <c r="G65" s="155"/>
    </row>
    <row r="66" spans="1:7" ht="33" customHeight="1" thickBot="1">
      <c r="A66" s="162"/>
      <c r="B66" s="302" t="s">
        <v>129</v>
      </c>
      <c r="C66" s="302"/>
      <c r="D66" s="302"/>
      <c r="E66" s="302"/>
      <c r="F66" s="303"/>
      <c r="G66" s="163" t="s">
        <v>120</v>
      </c>
    </row>
    <row r="67" spans="1:7" ht="15">
      <c r="A67" s="112" t="s">
        <v>37</v>
      </c>
      <c r="B67" s="158" t="s">
        <v>11</v>
      </c>
      <c r="C67" s="159" t="s">
        <v>38</v>
      </c>
      <c r="D67" s="158" t="s">
        <v>39</v>
      </c>
      <c r="E67" s="158" t="s">
        <v>14</v>
      </c>
      <c r="F67" s="160" t="s">
        <v>40</v>
      </c>
      <c r="G67" s="161" t="s">
        <v>41</v>
      </c>
    </row>
    <row r="68" spans="1:7" ht="60">
      <c r="A68" s="75" t="s">
        <v>43</v>
      </c>
      <c r="B68" s="76">
        <v>92777</v>
      </c>
      <c r="C68" s="119" t="s">
        <v>70</v>
      </c>
      <c r="D68" s="76" t="s">
        <v>107</v>
      </c>
      <c r="E68" s="77">
        <f>((8*4*6.44)+(8*2*4.96))*0.395</f>
        <v>112.7488</v>
      </c>
      <c r="F68" s="78">
        <v>10.58</v>
      </c>
      <c r="G68" s="79">
        <f aca="true" t="shared" si="3" ref="G68:G78">E68*F68</f>
        <v>1192.882304</v>
      </c>
    </row>
    <row r="69" spans="1:7" ht="45">
      <c r="A69" s="75" t="s">
        <v>43</v>
      </c>
      <c r="B69" s="114">
        <v>96536</v>
      </c>
      <c r="C69" s="118" t="s">
        <v>64</v>
      </c>
      <c r="D69" s="76" t="s">
        <v>52</v>
      </c>
      <c r="E69" s="77">
        <f>((1.83*2*6.44)+(1.1*2*4.96))/4</f>
        <v>8.620600000000001</v>
      </c>
      <c r="F69" s="78">
        <v>59.38</v>
      </c>
      <c r="G69" s="79">
        <f t="shared" si="3"/>
        <v>511.8912280000001</v>
      </c>
    </row>
    <row r="70" spans="1:7" ht="51.75">
      <c r="A70" s="142" t="s">
        <v>1</v>
      </c>
      <c r="B70" s="142">
        <v>7156</v>
      </c>
      <c r="C70" s="140" t="s">
        <v>86</v>
      </c>
      <c r="D70" s="142" t="s">
        <v>52</v>
      </c>
      <c r="E70" s="164">
        <f>1.1224*(6.44*4.96)</f>
        <v>35.85214976</v>
      </c>
      <c r="F70" s="131">
        <v>19.29</v>
      </c>
      <c r="G70" s="79">
        <f t="shared" si="3"/>
        <v>691.5879688704</v>
      </c>
    </row>
    <row r="71" spans="1:7" ht="60">
      <c r="A71" s="75" t="s">
        <v>43</v>
      </c>
      <c r="B71" s="114">
        <v>34493</v>
      </c>
      <c r="C71" s="118" t="s">
        <v>88</v>
      </c>
      <c r="D71" s="76" t="s">
        <v>53</v>
      </c>
      <c r="E71" s="77">
        <f>(0.702*6.44)+(0.072*4.96*2)</f>
        <v>5.23512</v>
      </c>
      <c r="F71" s="78">
        <v>256.06</v>
      </c>
      <c r="G71" s="79">
        <f t="shared" si="3"/>
        <v>1340.5048272000001</v>
      </c>
    </row>
    <row r="72" spans="1:7" ht="19.5" customHeight="1">
      <c r="A72" s="75" t="s">
        <v>43</v>
      </c>
      <c r="B72" s="115">
        <v>88309</v>
      </c>
      <c r="C72" s="121" t="s">
        <v>48</v>
      </c>
      <c r="D72" s="114" t="s">
        <v>54</v>
      </c>
      <c r="E72" s="77">
        <f>0.641*E71</f>
        <v>3.35571192</v>
      </c>
      <c r="F72" s="78">
        <v>22.38</v>
      </c>
      <c r="G72" s="77">
        <f t="shared" si="3"/>
        <v>75.1008327696</v>
      </c>
    </row>
    <row r="73" spans="1:7" ht="15" customHeight="1">
      <c r="A73" s="75" t="s">
        <v>43</v>
      </c>
      <c r="B73" s="115">
        <v>88316</v>
      </c>
      <c r="C73" s="120" t="s">
        <v>51</v>
      </c>
      <c r="D73" s="115" t="s">
        <v>54</v>
      </c>
      <c r="E73" s="77">
        <f>0.722*E71</f>
        <v>3.77975664</v>
      </c>
      <c r="F73" s="78">
        <v>16.54</v>
      </c>
      <c r="G73" s="77">
        <f t="shared" si="3"/>
        <v>62.517174825599994</v>
      </c>
    </row>
    <row r="74" spans="1:7" ht="45">
      <c r="A74" s="75" t="s">
        <v>43</v>
      </c>
      <c r="B74" s="115">
        <v>90586</v>
      </c>
      <c r="C74" s="122" t="s">
        <v>66</v>
      </c>
      <c r="D74" s="115" t="s">
        <v>67</v>
      </c>
      <c r="E74" s="116">
        <f>0.059*E71</f>
        <v>0.30887208</v>
      </c>
      <c r="F74" s="78">
        <v>1.33</v>
      </c>
      <c r="G74" s="77">
        <f t="shared" si="3"/>
        <v>0.4107998664</v>
      </c>
    </row>
    <row r="75" spans="1:7" ht="45">
      <c r="A75" s="75" t="s">
        <v>43</v>
      </c>
      <c r="B75" s="115">
        <v>90587</v>
      </c>
      <c r="C75" s="122" t="s">
        <v>68</v>
      </c>
      <c r="D75" s="115" t="s">
        <v>69</v>
      </c>
      <c r="E75" s="115">
        <f>0.101*E71</f>
        <v>0.52874712</v>
      </c>
      <c r="F75" s="78">
        <v>0.29</v>
      </c>
      <c r="G75" s="123">
        <f t="shared" si="3"/>
        <v>0.1533366648</v>
      </c>
    </row>
    <row r="76" spans="1:7" ht="15">
      <c r="A76" s="75" t="s">
        <v>43</v>
      </c>
      <c r="B76" s="115">
        <v>83668</v>
      </c>
      <c r="C76" s="122" t="s">
        <v>92</v>
      </c>
      <c r="D76" s="115" t="s">
        <v>53</v>
      </c>
      <c r="E76" s="117">
        <f>(0.35*0.15*6.44)</f>
        <v>0.3381</v>
      </c>
      <c r="F76" s="78">
        <v>109.27</v>
      </c>
      <c r="G76" s="77">
        <f t="shared" si="3"/>
        <v>36.944187</v>
      </c>
    </row>
    <row r="77" spans="1:7" ht="30">
      <c r="A77" s="165" t="s">
        <v>43</v>
      </c>
      <c r="B77" s="115">
        <v>83665</v>
      </c>
      <c r="C77" s="122" t="s">
        <v>93</v>
      </c>
      <c r="D77" s="115" t="s">
        <v>52</v>
      </c>
      <c r="E77" s="117">
        <f>(0.15+0.15+0.35+0.35)*6.44</f>
        <v>6.4399999999999995</v>
      </c>
      <c r="F77" s="78">
        <v>5.5</v>
      </c>
      <c r="G77" s="77">
        <f t="shared" si="3"/>
        <v>35.419999999999995</v>
      </c>
    </row>
    <row r="78" spans="1:7" ht="15">
      <c r="A78" s="165" t="s">
        <v>43</v>
      </c>
      <c r="B78" s="115">
        <v>83667</v>
      </c>
      <c r="C78" s="122" t="s">
        <v>94</v>
      </c>
      <c r="D78" s="115" t="s">
        <v>53</v>
      </c>
      <c r="E78" s="117">
        <f>2.008*6.44</f>
        <v>12.93152</v>
      </c>
      <c r="F78" s="78">
        <v>114.77</v>
      </c>
      <c r="G78" s="77">
        <f t="shared" si="3"/>
        <v>1484.1505504</v>
      </c>
    </row>
    <row r="79" spans="1:7" ht="15">
      <c r="A79" s="298" t="s">
        <v>44</v>
      </c>
      <c r="B79" s="284"/>
      <c r="C79" s="284"/>
      <c r="D79" s="284"/>
      <c r="E79" s="299">
        <f>SUM(G68:G78)</f>
        <v>5431.5632095968</v>
      </c>
      <c r="F79" s="300"/>
      <c r="G79" s="301"/>
    </row>
    <row r="80" spans="1:7" ht="15.75" thickBot="1">
      <c r="A80" s="156" t="s">
        <v>42</v>
      </c>
      <c r="B80" s="157"/>
      <c r="C80" s="256" t="s">
        <v>96</v>
      </c>
      <c r="D80" s="257"/>
      <c r="E80" s="257"/>
      <c r="F80" s="257"/>
      <c r="G80" s="258"/>
    </row>
    <row r="81" spans="1:7" ht="15.75" customHeight="1" thickBot="1">
      <c r="A81" s="151"/>
      <c r="B81" s="152"/>
      <c r="C81" s="153"/>
      <c r="D81" s="154"/>
      <c r="E81" s="154"/>
      <c r="F81" s="154"/>
      <c r="G81" s="155"/>
    </row>
    <row r="82" spans="1:7" ht="31.5" hidden="1">
      <c r="A82" s="174"/>
      <c r="B82" s="293" t="s">
        <v>77</v>
      </c>
      <c r="C82" s="294"/>
      <c r="D82" s="294"/>
      <c r="E82" s="294"/>
      <c r="F82" s="295"/>
      <c r="G82" s="173" t="s">
        <v>120</v>
      </c>
    </row>
    <row r="83" spans="1:7" ht="24" customHeight="1" hidden="1">
      <c r="A83" s="112" t="s">
        <v>37</v>
      </c>
      <c r="B83" s="158" t="s">
        <v>11</v>
      </c>
      <c r="C83" s="159" t="s">
        <v>38</v>
      </c>
      <c r="D83" s="158" t="s">
        <v>39</v>
      </c>
      <c r="E83" s="158" t="s">
        <v>14</v>
      </c>
      <c r="F83" s="160" t="s">
        <v>40</v>
      </c>
      <c r="G83" s="161" t="s">
        <v>41</v>
      </c>
    </row>
    <row r="84" spans="1:7" ht="22.5" customHeight="1" hidden="1">
      <c r="A84" s="133" t="s">
        <v>43</v>
      </c>
      <c r="B84" s="52">
        <v>96622</v>
      </c>
      <c r="C84" s="132" t="s">
        <v>73</v>
      </c>
      <c r="D84" s="133" t="s">
        <v>53</v>
      </c>
      <c r="E84" s="131">
        <f>(1*1*0.05)</f>
        <v>0.05</v>
      </c>
      <c r="F84" s="131">
        <v>104.51</v>
      </c>
      <c r="G84" s="79">
        <f>E84*F84</f>
        <v>5.2255</v>
      </c>
    </row>
    <row r="85" spans="1:7" ht="27.75" customHeight="1" hidden="1">
      <c r="A85" s="133" t="s">
        <v>43</v>
      </c>
      <c r="B85" s="52">
        <v>97096</v>
      </c>
      <c r="C85" s="134" t="s">
        <v>74</v>
      </c>
      <c r="D85" s="133" t="s">
        <v>53</v>
      </c>
      <c r="E85" s="131">
        <f>(1*1*0.05)+(0.15*0.15*0.88)*4+(0.6*0.6*0.09)</f>
        <v>0.16159999999999997</v>
      </c>
      <c r="F85" s="131">
        <v>343.47</v>
      </c>
      <c r="G85" s="79">
        <f>E85*F85</f>
        <v>55.50475199999999</v>
      </c>
    </row>
    <row r="86" spans="1:7" ht="32.25" customHeight="1" hidden="1">
      <c r="A86" s="133" t="s">
        <v>43</v>
      </c>
      <c r="B86" s="52">
        <v>92270</v>
      </c>
      <c r="C86" s="134" t="s">
        <v>102</v>
      </c>
      <c r="D86" s="133" t="s">
        <v>52</v>
      </c>
      <c r="E86" s="138">
        <f>(0.15*0.88)*8</f>
        <v>1.056</v>
      </c>
      <c r="F86" s="131">
        <v>86.81</v>
      </c>
      <c r="G86" s="77">
        <f>E86*F86</f>
        <v>91.67136</v>
      </c>
    </row>
    <row r="87" spans="1:7" ht="30.75" customHeight="1" hidden="1">
      <c r="A87" s="135" t="s">
        <v>43</v>
      </c>
      <c r="B87" s="136">
        <v>85662</v>
      </c>
      <c r="C87" s="137" t="s">
        <v>75</v>
      </c>
      <c r="D87" s="135" t="s">
        <v>52</v>
      </c>
      <c r="E87" s="131">
        <f>0.6*0.6</f>
        <v>0.36</v>
      </c>
      <c r="F87" s="131">
        <v>11.7</v>
      </c>
      <c r="G87" s="77">
        <f>E87*F87</f>
        <v>4.212</v>
      </c>
    </row>
    <row r="88" spans="1:7" ht="79.5" customHeight="1" hidden="1">
      <c r="A88" s="135" t="s">
        <v>43</v>
      </c>
      <c r="B88" s="136">
        <v>87792</v>
      </c>
      <c r="C88" s="140" t="s">
        <v>91</v>
      </c>
      <c r="D88" s="133" t="s">
        <v>52</v>
      </c>
      <c r="E88" s="131">
        <f>(0.74*1)*4</f>
        <v>2.96</v>
      </c>
      <c r="F88" s="131">
        <v>27.96</v>
      </c>
      <c r="G88" s="77">
        <f>E88*F88</f>
        <v>82.7616</v>
      </c>
    </row>
    <row r="89" spans="1:7" ht="82.5" customHeight="1" hidden="1">
      <c r="A89" s="135" t="s">
        <v>43</v>
      </c>
      <c r="B89" s="52">
        <v>89472</v>
      </c>
      <c r="C89" s="134" t="s">
        <v>97</v>
      </c>
      <c r="D89" s="52" t="s">
        <v>52</v>
      </c>
      <c r="E89" s="131">
        <f>(1*1)*4</f>
        <v>4</v>
      </c>
      <c r="F89" s="131">
        <v>88.24</v>
      </c>
      <c r="G89" s="77">
        <f>E89*F89</f>
        <v>352.96</v>
      </c>
    </row>
    <row r="90" spans="1:7" ht="15" hidden="1">
      <c r="A90" s="290" t="s">
        <v>44</v>
      </c>
      <c r="B90" s="291"/>
      <c r="C90" s="291"/>
      <c r="D90" s="292"/>
      <c r="E90" s="286">
        <f>SUM(G84:G89)</f>
        <v>592.335212</v>
      </c>
      <c r="F90" s="287"/>
      <c r="G90" s="288"/>
    </row>
    <row r="91" spans="1:7" ht="15.75" hidden="1" thickBot="1">
      <c r="A91" s="143" t="s">
        <v>42</v>
      </c>
      <c r="B91" s="80"/>
      <c r="C91" s="306" t="s">
        <v>95</v>
      </c>
      <c r="D91" s="306"/>
      <c r="E91" s="306"/>
      <c r="F91" s="306"/>
      <c r="G91" s="256"/>
    </row>
    <row r="92" spans="1:7" ht="15.75" hidden="1" thickBot="1">
      <c r="A92" s="144"/>
      <c r="B92" s="145"/>
      <c r="C92" s="146"/>
      <c r="D92" s="147"/>
      <c r="E92" s="147"/>
      <c r="F92" s="148"/>
      <c r="G92" s="149"/>
    </row>
    <row r="93" spans="1:7" ht="31.5" hidden="1">
      <c r="A93" s="172"/>
      <c r="B93" s="293" t="s">
        <v>78</v>
      </c>
      <c r="C93" s="294"/>
      <c r="D93" s="294"/>
      <c r="E93" s="294"/>
      <c r="F93" s="295"/>
      <c r="G93" s="173" t="s">
        <v>120</v>
      </c>
    </row>
    <row r="94" spans="1:7" ht="15" hidden="1">
      <c r="A94" s="112" t="s">
        <v>37</v>
      </c>
      <c r="B94" s="158" t="s">
        <v>11</v>
      </c>
      <c r="C94" s="159" t="s">
        <v>38</v>
      </c>
      <c r="D94" s="158" t="s">
        <v>39</v>
      </c>
      <c r="E94" s="158" t="s">
        <v>14</v>
      </c>
      <c r="F94" s="160" t="s">
        <v>40</v>
      </c>
      <c r="G94" s="161" t="s">
        <v>41</v>
      </c>
    </row>
    <row r="95" spans="1:7" ht="15" hidden="1">
      <c r="A95" s="133" t="s">
        <v>43</v>
      </c>
      <c r="B95" s="52">
        <v>96622</v>
      </c>
      <c r="C95" s="132" t="s">
        <v>73</v>
      </c>
      <c r="D95" s="133" t="s">
        <v>53</v>
      </c>
      <c r="E95" s="131">
        <f>(2*2*0.05)</f>
        <v>0.2</v>
      </c>
      <c r="F95" s="131">
        <v>104.51</v>
      </c>
      <c r="G95" s="79">
        <f>E95*F95</f>
        <v>20.902</v>
      </c>
    </row>
    <row r="96" spans="1:7" ht="15" hidden="1">
      <c r="A96" s="133" t="s">
        <v>43</v>
      </c>
      <c r="B96" s="52">
        <v>96616</v>
      </c>
      <c r="C96" s="134" t="s">
        <v>79</v>
      </c>
      <c r="D96" s="133" t="s">
        <v>53</v>
      </c>
      <c r="E96" s="131">
        <f>(2*2*0.05)</f>
        <v>0.2</v>
      </c>
      <c r="F96" s="131">
        <v>462</v>
      </c>
      <c r="G96" s="79">
        <f>E96*F96</f>
        <v>92.4</v>
      </c>
    </row>
    <row r="97" spans="1:7" ht="26.25" hidden="1">
      <c r="A97" s="133" t="s">
        <v>43</v>
      </c>
      <c r="B97" s="52">
        <v>97096</v>
      </c>
      <c r="C97" s="134" t="s">
        <v>74</v>
      </c>
      <c r="D97" s="133" t="s">
        <v>53</v>
      </c>
      <c r="E97" s="138">
        <f>(0.15*1.6*1.6)</f>
        <v>0.384</v>
      </c>
      <c r="F97" s="131">
        <v>343.47</v>
      </c>
      <c r="G97" s="79">
        <f>E97*F97</f>
        <v>131.89248</v>
      </c>
    </row>
    <row r="98" spans="1:7" ht="42.75" customHeight="1" hidden="1">
      <c r="A98" s="133" t="s">
        <v>43</v>
      </c>
      <c r="B98" s="52">
        <v>92270</v>
      </c>
      <c r="C98" s="134" t="s">
        <v>76</v>
      </c>
      <c r="D98" s="133" t="s">
        <v>52</v>
      </c>
      <c r="E98" s="139">
        <f>(0.15*1.6)*8</f>
        <v>1.92</v>
      </c>
      <c r="F98" s="131">
        <v>86.81</v>
      </c>
      <c r="G98" s="77">
        <f>E98*F98</f>
        <v>166.6752</v>
      </c>
    </row>
    <row r="99" spans="1:7" ht="33.75" customHeight="1" hidden="1">
      <c r="A99" s="135" t="s">
        <v>43</v>
      </c>
      <c r="B99" s="136">
        <v>85662</v>
      </c>
      <c r="C99" s="137" t="s">
        <v>75</v>
      </c>
      <c r="D99" s="135" t="s">
        <v>52</v>
      </c>
      <c r="E99" s="131">
        <f>0.6*0.6</f>
        <v>0.36</v>
      </c>
      <c r="F99" s="131">
        <v>11.7</v>
      </c>
      <c r="G99" s="77">
        <f>E99*F99</f>
        <v>4.212</v>
      </c>
    </row>
    <row r="100" spans="1:7" ht="69.75" customHeight="1" hidden="1">
      <c r="A100" s="135" t="s">
        <v>43</v>
      </c>
      <c r="B100" s="136">
        <v>87792</v>
      </c>
      <c r="C100" s="140" t="s">
        <v>80</v>
      </c>
      <c r="D100" s="133" t="s">
        <v>52</v>
      </c>
      <c r="E100" s="138">
        <f>(1.26*1.5)*4</f>
        <v>7.5600000000000005</v>
      </c>
      <c r="F100" s="131">
        <v>27.96</v>
      </c>
      <c r="G100" s="77">
        <f>E100*F100</f>
        <v>211.37760000000003</v>
      </c>
    </row>
    <row r="101" spans="1:7" ht="81" customHeight="1" hidden="1">
      <c r="A101" s="135" t="s">
        <v>43</v>
      </c>
      <c r="B101" s="52">
        <v>89472</v>
      </c>
      <c r="C101" s="134" t="s">
        <v>97</v>
      </c>
      <c r="D101" s="52" t="s">
        <v>52</v>
      </c>
      <c r="E101" s="131">
        <f>(1.6*1)*4</f>
        <v>6.4</v>
      </c>
      <c r="F101" s="131">
        <v>88.24</v>
      </c>
      <c r="G101" s="77">
        <f>E101*F101</f>
        <v>564.736</v>
      </c>
    </row>
    <row r="102" spans="1:7" ht="15" hidden="1">
      <c r="A102" s="283" t="s">
        <v>44</v>
      </c>
      <c r="B102" s="284"/>
      <c r="C102" s="285"/>
      <c r="D102" s="285"/>
      <c r="E102" s="286">
        <f>SUM(G95:G101)</f>
        <v>1192.19528</v>
      </c>
      <c r="F102" s="287"/>
      <c r="G102" s="288"/>
    </row>
    <row r="103" spans="1:7" ht="15.75" hidden="1" thickBot="1">
      <c r="A103" s="170" t="s">
        <v>42</v>
      </c>
      <c r="B103" s="157"/>
      <c r="C103" s="256" t="s">
        <v>95</v>
      </c>
      <c r="D103" s="257"/>
      <c r="E103" s="257"/>
      <c r="F103" s="257"/>
      <c r="G103" s="257"/>
    </row>
    <row r="104" spans="1:7" ht="15.75" hidden="1" thickBot="1">
      <c r="A104" s="169"/>
      <c r="B104" s="152"/>
      <c r="C104" s="153"/>
      <c r="D104" s="154"/>
      <c r="E104" s="154"/>
      <c r="F104" s="154"/>
      <c r="G104" s="154"/>
    </row>
    <row r="105" spans="1:7" ht="18.75" customHeight="1" hidden="1">
      <c r="A105" s="171"/>
      <c r="B105" s="307" t="s">
        <v>121</v>
      </c>
      <c r="C105" s="307"/>
      <c r="D105" s="307"/>
      <c r="E105" s="307"/>
      <c r="F105" s="307"/>
      <c r="G105" s="173" t="s">
        <v>62</v>
      </c>
    </row>
    <row r="106" spans="1:7" ht="15" hidden="1">
      <c r="A106" s="72" t="s">
        <v>37</v>
      </c>
      <c r="B106" s="72" t="s">
        <v>11</v>
      </c>
      <c r="C106" s="73" t="s">
        <v>38</v>
      </c>
      <c r="D106" s="72" t="s">
        <v>39</v>
      </c>
      <c r="E106" s="72" t="s">
        <v>14</v>
      </c>
      <c r="F106" s="74" t="s">
        <v>40</v>
      </c>
      <c r="G106" s="158" t="s">
        <v>41</v>
      </c>
    </row>
    <row r="107" spans="1:7" ht="45" hidden="1">
      <c r="A107" s="76" t="s">
        <v>43</v>
      </c>
      <c r="B107" s="117">
        <v>10567</v>
      </c>
      <c r="C107" s="166" t="s">
        <v>100</v>
      </c>
      <c r="D107" s="76" t="s">
        <v>84</v>
      </c>
      <c r="E107" s="77">
        <v>1</v>
      </c>
      <c r="F107" s="78">
        <v>3.56</v>
      </c>
      <c r="G107" s="77">
        <f>E107*F107</f>
        <v>3.56</v>
      </c>
    </row>
    <row r="108" spans="1:7" ht="15" hidden="1">
      <c r="A108" s="133" t="s">
        <v>43</v>
      </c>
      <c r="B108" s="52">
        <v>96622</v>
      </c>
      <c r="C108" s="132" t="s">
        <v>73</v>
      </c>
      <c r="D108" s="133" t="s">
        <v>53</v>
      </c>
      <c r="E108" s="131">
        <f>(0.3*0.1*1)</f>
        <v>0.03</v>
      </c>
      <c r="F108" s="131">
        <v>104.51</v>
      </c>
      <c r="G108" s="79">
        <f>E108*F108</f>
        <v>3.1353</v>
      </c>
    </row>
    <row r="109" spans="1:7" ht="15" hidden="1">
      <c r="A109" s="283" t="s">
        <v>44</v>
      </c>
      <c r="B109" s="285"/>
      <c r="C109" s="285"/>
      <c r="D109" s="285"/>
      <c r="E109" s="286">
        <f>SUM(G107:G108)</f>
        <v>6.6953</v>
      </c>
      <c r="F109" s="287"/>
      <c r="G109" s="288"/>
    </row>
    <row r="110" spans="1:7" ht="15.75" hidden="1" thickBot="1">
      <c r="A110" s="156" t="s">
        <v>42</v>
      </c>
      <c r="B110" s="157"/>
      <c r="C110" s="256" t="s">
        <v>96</v>
      </c>
      <c r="D110" s="257"/>
      <c r="E110" s="257"/>
      <c r="F110" s="257"/>
      <c r="G110" s="258"/>
    </row>
    <row r="111" spans="1:7" ht="15.75" hidden="1" thickBot="1">
      <c r="A111" s="151"/>
      <c r="B111" s="152"/>
      <c r="C111" s="153"/>
      <c r="D111" s="154"/>
      <c r="E111" s="154"/>
      <c r="F111" s="154"/>
      <c r="G111" s="155"/>
    </row>
    <row r="112" spans="1:7" ht="15.75" hidden="1">
      <c r="A112" s="172"/>
      <c r="B112" s="294" t="s">
        <v>118</v>
      </c>
      <c r="C112" s="294"/>
      <c r="D112" s="294"/>
      <c r="E112" s="294"/>
      <c r="F112" s="294"/>
      <c r="G112" s="173" t="s">
        <v>119</v>
      </c>
    </row>
    <row r="113" spans="1:7" ht="15" hidden="1">
      <c r="A113" s="158" t="s">
        <v>37</v>
      </c>
      <c r="B113" s="158" t="s">
        <v>11</v>
      </c>
      <c r="C113" s="159" t="s">
        <v>38</v>
      </c>
      <c r="D113" s="158" t="s">
        <v>39</v>
      </c>
      <c r="E113" s="158" t="s">
        <v>14</v>
      </c>
      <c r="F113" s="160" t="s">
        <v>40</v>
      </c>
      <c r="G113" s="158" t="s">
        <v>41</v>
      </c>
    </row>
    <row r="114" spans="1:7" ht="32.25" customHeight="1" hidden="1">
      <c r="A114" s="76" t="s">
        <v>43</v>
      </c>
      <c r="B114" s="117">
        <v>6212</v>
      </c>
      <c r="C114" s="166" t="s">
        <v>101</v>
      </c>
      <c r="D114" s="76" t="s">
        <v>84</v>
      </c>
      <c r="E114" s="77">
        <v>1</v>
      </c>
      <c r="F114" s="78">
        <v>5.84</v>
      </c>
      <c r="G114" s="77">
        <f>E114*F114</f>
        <v>5.84</v>
      </c>
    </row>
    <row r="115" spans="1:7" ht="24.75" customHeight="1" hidden="1">
      <c r="A115" s="133" t="s">
        <v>43</v>
      </c>
      <c r="B115" s="52">
        <v>96622</v>
      </c>
      <c r="C115" s="132" t="s">
        <v>73</v>
      </c>
      <c r="D115" s="133" t="s">
        <v>53</v>
      </c>
      <c r="E115" s="131">
        <f>(0.6*0.1*1)</f>
        <v>0.06</v>
      </c>
      <c r="F115" s="131">
        <v>104.51</v>
      </c>
      <c r="G115" s="79">
        <f>E115*F115</f>
        <v>6.2706</v>
      </c>
    </row>
    <row r="116" spans="1:7" ht="15" hidden="1">
      <c r="A116" s="283" t="s">
        <v>44</v>
      </c>
      <c r="B116" s="285"/>
      <c r="C116" s="285"/>
      <c r="D116" s="285"/>
      <c r="E116" s="286">
        <f>SUM(G114:G115)</f>
        <v>12.1106</v>
      </c>
      <c r="F116" s="287"/>
      <c r="G116" s="288"/>
    </row>
    <row r="117" spans="1:7" ht="19.5" customHeight="1" hidden="1" thickBot="1">
      <c r="A117" s="156" t="s">
        <v>42</v>
      </c>
      <c r="B117" s="157"/>
      <c r="C117" s="256" t="s">
        <v>96</v>
      </c>
      <c r="D117" s="257"/>
      <c r="E117" s="257"/>
      <c r="F117" s="257"/>
      <c r="G117" s="258"/>
    </row>
    <row r="118" spans="1:7" ht="15.75" hidden="1" thickBot="1">
      <c r="A118" s="151"/>
      <c r="B118" s="152"/>
      <c r="C118" s="153"/>
      <c r="D118" s="154"/>
      <c r="E118" s="154"/>
      <c r="F118" s="154"/>
      <c r="G118" s="155"/>
    </row>
    <row r="119" spans="1:7" ht="31.5" customHeight="1">
      <c r="A119" s="172"/>
      <c r="B119" s="304" t="s">
        <v>89</v>
      </c>
      <c r="C119" s="304"/>
      <c r="D119" s="304"/>
      <c r="E119" s="304"/>
      <c r="F119" s="305"/>
      <c r="G119" s="173" t="s">
        <v>117</v>
      </c>
    </row>
    <row r="120" spans="1:7" ht="15">
      <c r="A120" s="112" t="s">
        <v>37</v>
      </c>
      <c r="B120" s="158" t="s">
        <v>11</v>
      </c>
      <c r="C120" s="159" t="s">
        <v>38</v>
      </c>
      <c r="D120" s="158" t="s">
        <v>39</v>
      </c>
      <c r="E120" s="158" t="s">
        <v>14</v>
      </c>
      <c r="F120" s="160" t="s">
        <v>40</v>
      </c>
      <c r="G120" s="161" t="s">
        <v>41</v>
      </c>
    </row>
    <row r="121" spans="1:7" ht="15">
      <c r="A121" s="142" t="s">
        <v>1</v>
      </c>
      <c r="B121" s="142">
        <v>3777</v>
      </c>
      <c r="C121" s="140" t="s">
        <v>82</v>
      </c>
      <c r="D121" s="142" t="s">
        <v>52</v>
      </c>
      <c r="E121" s="141">
        <v>1.128</v>
      </c>
      <c r="F121" s="132">
        <v>0.85</v>
      </c>
      <c r="G121" s="79">
        <f>E121*F121</f>
        <v>0.9587999999999999</v>
      </c>
    </row>
    <row r="122" spans="1:7" ht="39">
      <c r="A122" s="142" t="s">
        <v>1</v>
      </c>
      <c r="B122" s="142">
        <v>4517</v>
      </c>
      <c r="C122" s="140" t="s">
        <v>83</v>
      </c>
      <c r="D122" s="142" t="s">
        <v>84</v>
      </c>
      <c r="E122" s="141">
        <v>0.2</v>
      </c>
      <c r="F122" s="132">
        <v>1.03</v>
      </c>
      <c r="G122" s="79">
        <f>E122*F122</f>
        <v>0.20600000000000002</v>
      </c>
    </row>
    <row r="123" spans="1:7" ht="26.25">
      <c r="A123" s="142" t="s">
        <v>1</v>
      </c>
      <c r="B123" s="142">
        <v>6189</v>
      </c>
      <c r="C123" s="140" t="s">
        <v>85</v>
      </c>
      <c r="D123" s="142" t="s">
        <v>84</v>
      </c>
      <c r="E123" s="141">
        <v>0.125</v>
      </c>
      <c r="F123" s="132">
        <v>18.28</v>
      </c>
      <c r="G123" s="79">
        <f>E123*F123</f>
        <v>2.285</v>
      </c>
    </row>
    <row r="124" spans="1:7" ht="45" customHeight="1">
      <c r="A124" s="142" t="s">
        <v>1</v>
      </c>
      <c r="B124" s="142">
        <v>7156</v>
      </c>
      <c r="C124" s="140" t="s">
        <v>86</v>
      </c>
      <c r="D124" s="142" t="s">
        <v>52</v>
      </c>
      <c r="E124" s="141">
        <f>1.1224*2</f>
        <v>2.2448</v>
      </c>
      <c r="F124" s="132">
        <v>19.29</v>
      </c>
      <c r="G124" s="79">
        <f aca="true" t="shared" si="4" ref="G124:G131">E124*F124</f>
        <v>43.302192</v>
      </c>
    </row>
    <row r="125" spans="1:7" ht="41.25" customHeight="1">
      <c r="A125" s="142" t="s">
        <v>0</v>
      </c>
      <c r="B125" s="142">
        <v>407743</v>
      </c>
      <c r="C125" s="140" t="s">
        <v>115</v>
      </c>
      <c r="D125" s="142" t="s">
        <v>84</v>
      </c>
      <c r="E125" s="150">
        <f>((3*0.248)+(2*0.14))*1.666</f>
        <v>1.705984</v>
      </c>
      <c r="F125" s="132">
        <v>4.63</v>
      </c>
      <c r="G125" s="79">
        <f t="shared" si="4"/>
        <v>7.898705919999999</v>
      </c>
    </row>
    <row r="126" spans="1:7" ht="15">
      <c r="A126" s="142" t="s">
        <v>0</v>
      </c>
      <c r="B126" s="142" t="s">
        <v>98</v>
      </c>
      <c r="C126" s="140" t="s">
        <v>116</v>
      </c>
      <c r="D126" s="142" t="s">
        <v>107</v>
      </c>
      <c r="E126" s="150">
        <f>((10.1/0.3*0.4)/(10.1*5))*3.853</f>
        <v>1.0274666666666668</v>
      </c>
      <c r="F126" s="132">
        <v>4.5511</v>
      </c>
      <c r="G126" s="79">
        <f t="shared" si="4"/>
        <v>4.676103546666667</v>
      </c>
    </row>
    <row r="127" spans="1:7" ht="26.25">
      <c r="A127" s="142" t="s">
        <v>1</v>
      </c>
      <c r="B127" s="142">
        <v>98557</v>
      </c>
      <c r="C127" s="140" t="s">
        <v>99</v>
      </c>
      <c r="D127" s="142" t="s">
        <v>52</v>
      </c>
      <c r="E127" s="150">
        <f>(0.12*10.1)/(10.1*5)</f>
        <v>0.024</v>
      </c>
      <c r="F127" s="132">
        <v>28.76</v>
      </c>
      <c r="G127" s="79">
        <f t="shared" si="4"/>
        <v>0.6902400000000001</v>
      </c>
    </row>
    <row r="128" spans="1:7" ht="27.75" customHeight="1">
      <c r="A128" s="142" t="s">
        <v>1</v>
      </c>
      <c r="B128" s="142">
        <v>88262</v>
      </c>
      <c r="C128" s="140" t="s">
        <v>87</v>
      </c>
      <c r="D128" s="142" t="s">
        <v>54</v>
      </c>
      <c r="E128" s="141">
        <v>0.2707</v>
      </c>
      <c r="F128" s="132">
        <v>24.33</v>
      </c>
      <c r="G128" s="79">
        <f t="shared" si="4"/>
        <v>6.586130999999999</v>
      </c>
    </row>
    <row r="129" spans="1:7" ht="15">
      <c r="A129" s="142" t="s">
        <v>1</v>
      </c>
      <c r="B129" s="142">
        <v>88309</v>
      </c>
      <c r="C129" s="140" t="s">
        <v>48</v>
      </c>
      <c r="D129" s="142" t="s">
        <v>54</v>
      </c>
      <c r="E129" s="141">
        <v>0.3866</v>
      </c>
      <c r="F129" s="132">
        <v>22.38</v>
      </c>
      <c r="G129" s="79">
        <f t="shared" si="4"/>
        <v>8.652108</v>
      </c>
    </row>
    <row r="130" spans="1:7" ht="15">
      <c r="A130" s="142" t="s">
        <v>1</v>
      </c>
      <c r="B130" s="142">
        <v>88316</v>
      </c>
      <c r="C130" s="140" t="s">
        <v>51</v>
      </c>
      <c r="D130" s="142" t="s">
        <v>54</v>
      </c>
      <c r="E130" s="141">
        <v>0.6574</v>
      </c>
      <c r="F130" s="132">
        <v>16.54</v>
      </c>
      <c r="G130" s="79">
        <f t="shared" si="4"/>
        <v>10.873396</v>
      </c>
    </row>
    <row r="131" spans="1:7" ht="55.5" customHeight="1">
      <c r="A131" s="141" t="s">
        <v>1</v>
      </c>
      <c r="B131" s="142">
        <v>34493</v>
      </c>
      <c r="C131" s="140" t="s">
        <v>88</v>
      </c>
      <c r="D131" s="142" t="s">
        <v>53</v>
      </c>
      <c r="E131" s="141">
        <v>0.1455</v>
      </c>
      <c r="F131" s="132">
        <v>256.06</v>
      </c>
      <c r="G131" s="79">
        <f t="shared" si="4"/>
        <v>37.25673</v>
      </c>
    </row>
    <row r="132" spans="1:7" ht="15">
      <c r="A132" s="142" t="s">
        <v>1</v>
      </c>
      <c r="B132" s="142">
        <v>95270</v>
      </c>
      <c r="C132" s="140" t="s">
        <v>132</v>
      </c>
      <c r="D132" s="142" t="s">
        <v>67</v>
      </c>
      <c r="E132" s="141">
        <v>0.2</v>
      </c>
      <c r="F132" s="132">
        <v>4.32</v>
      </c>
      <c r="G132" s="79">
        <f>E132*F132</f>
        <v>0.8640000000000001</v>
      </c>
    </row>
    <row r="133" spans="1:7" ht="15">
      <c r="A133" s="283" t="s">
        <v>44</v>
      </c>
      <c r="B133" s="284"/>
      <c r="C133" s="285"/>
      <c r="D133" s="285"/>
      <c r="E133" s="286">
        <f>SUM(G121:G132)</f>
        <v>124.24940646666667</v>
      </c>
      <c r="F133" s="287"/>
      <c r="G133" s="288"/>
    </row>
    <row r="134" spans="1:7" ht="15.75" thickBot="1">
      <c r="A134" s="170" t="s">
        <v>42</v>
      </c>
      <c r="B134" s="157"/>
      <c r="C134" s="256" t="s">
        <v>95</v>
      </c>
      <c r="D134" s="257"/>
      <c r="E134" s="257"/>
      <c r="F134" s="257"/>
      <c r="G134" s="257"/>
    </row>
    <row r="143" spans="3:5" ht="15.75">
      <c r="C143" s="237"/>
      <c r="D143" s="237"/>
      <c r="E143" s="237"/>
    </row>
    <row r="144" spans="3:5" ht="12.75">
      <c r="C144" s="238"/>
      <c r="D144" s="238"/>
      <c r="E144" s="238"/>
    </row>
    <row r="145" spans="3:5" ht="12.75">
      <c r="C145" s="238"/>
      <c r="D145" s="238"/>
      <c r="E145" s="238"/>
    </row>
  </sheetData>
  <sheetProtection/>
  <mergeCells count="48">
    <mergeCell ref="B119:F119"/>
    <mergeCell ref="A133:D133"/>
    <mergeCell ref="E133:G133"/>
    <mergeCell ref="C134:G134"/>
    <mergeCell ref="C91:G91"/>
    <mergeCell ref="B93:F93"/>
    <mergeCell ref="A102:D102"/>
    <mergeCell ref="E102:G102"/>
    <mergeCell ref="C103:G103"/>
    <mergeCell ref="B105:F105"/>
    <mergeCell ref="A109:D109"/>
    <mergeCell ref="E109:G109"/>
    <mergeCell ref="C110:G110"/>
    <mergeCell ref="B112:F112"/>
    <mergeCell ref="A116:D116"/>
    <mergeCell ref="E116:G116"/>
    <mergeCell ref="A90:D90"/>
    <mergeCell ref="E90:G90"/>
    <mergeCell ref="B82:F82"/>
    <mergeCell ref="B50:F50"/>
    <mergeCell ref="A63:D63"/>
    <mergeCell ref="E63:G63"/>
    <mergeCell ref="C64:G64"/>
    <mergeCell ref="B66:F66"/>
    <mergeCell ref="A79:D79"/>
    <mergeCell ref="E79:G79"/>
    <mergeCell ref="C80:G80"/>
    <mergeCell ref="B28:F28"/>
    <mergeCell ref="A32:D32"/>
    <mergeCell ref="E32:G32"/>
    <mergeCell ref="B35:F35"/>
    <mergeCell ref="C48:G48"/>
    <mergeCell ref="C143:E143"/>
    <mergeCell ref="C144:E144"/>
    <mergeCell ref="C145:E145"/>
    <mergeCell ref="C117:G117"/>
    <mergeCell ref="A1:G1"/>
    <mergeCell ref="E10:G10"/>
    <mergeCell ref="C11:G11"/>
    <mergeCell ref="B2:F2"/>
    <mergeCell ref="A10:D10"/>
    <mergeCell ref="C26:G26"/>
    <mergeCell ref="B13:F13"/>
    <mergeCell ref="A25:D25"/>
    <mergeCell ref="E25:G25"/>
    <mergeCell ref="A47:D47"/>
    <mergeCell ref="E47:G47"/>
    <mergeCell ref="C33:G33"/>
  </mergeCells>
  <printOptions/>
  <pageMargins left="1" right="1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C22" sqref="C22:E24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21.8515625" style="0" bestFit="1" customWidth="1"/>
    <col min="4" max="4" width="9.28125" style="0" bestFit="1" customWidth="1"/>
    <col min="5" max="5" width="14.8515625" style="0" bestFit="1" customWidth="1"/>
    <col min="6" max="6" width="9.28125" style="0" bestFit="1" customWidth="1"/>
    <col min="7" max="7" width="15.8515625" style="0" bestFit="1" customWidth="1"/>
    <col min="8" max="8" width="9.28125" style="0" bestFit="1" customWidth="1"/>
    <col min="9" max="9" width="15.8515625" style="0" bestFit="1" customWidth="1"/>
    <col min="10" max="10" width="9.28125" style="0" bestFit="1" customWidth="1"/>
  </cols>
  <sheetData>
    <row r="1" spans="1:12" ht="15.75">
      <c r="A1" s="308" t="s">
        <v>123</v>
      </c>
      <c r="B1" s="308"/>
      <c r="C1" s="308"/>
      <c r="D1" s="308"/>
      <c r="E1" s="308"/>
      <c r="F1" s="308"/>
      <c r="G1" s="308"/>
      <c r="H1" s="308"/>
      <c r="I1" s="308"/>
      <c r="J1" s="308"/>
      <c r="K1" s="87"/>
      <c r="L1" s="87"/>
    </row>
    <row r="2" spans="1:8" ht="15.75">
      <c r="A2" s="105"/>
      <c r="B2" s="105"/>
      <c r="C2" s="105"/>
      <c r="D2" s="105"/>
      <c r="E2" s="105"/>
      <c r="F2" s="105"/>
      <c r="G2" s="105"/>
      <c r="H2" s="45"/>
    </row>
    <row r="3" spans="1:8" ht="12.75">
      <c r="A3" s="46" t="s">
        <v>24</v>
      </c>
      <c r="B3" s="309" t="str">
        <f>ORÇAMENTO!A2</f>
        <v>PROJETO PISTA DE ATLETISMO</v>
      </c>
      <c r="C3" s="309"/>
      <c r="D3" s="309"/>
      <c r="E3" s="309"/>
      <c r="F3" s="47" t="s">
        <v>124</v>
      </c>
      <c r="G3" s="175" t="s">
        <v>125</v>
      </c>
      <c r="H3" s="45"/>
    </row>
    <row r="4" spans="1:10" ht="13.5" customHeight="1">
      <c r="A4" s="310" t="s">
        <v>35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>
      <c r="A5" s="48" t="s">
        <v>9</v>
      </c>
      <c r="B5" s="48" t="s">
        <v>25</v>
      </c>
      <c r="C5" s="48" t="s">
        <v>26</v>
      </c>
      <c r="D5" s="48" t="s">
        <v>27</v>
      </c>
      <c r="E5" s="311" t="s">
        <v>141</v>
      </c>
      <c r="F5" s="312"/>
      <c r="G5" s="311" t="s">
        <v>28</v>
      </c>
      <c r="H5" s="312"/>
      <c r="I5" s="311" t="s">
        <v>29</v>
      </c>
      <c r="J5" s="312"/>
    </row>
    <row r="6" spans="1:10" ht="12.75">
      <c r="A6" s="52"/>
      <c r="B6" s="58"/>
      <c r="C6" s="52" t="s">
        <v>29</v>
      </c>
      <c r="D6" s="52"/>
      <c r="E6" s="52" t="s">
        <v>30</v>
      </c>
      <c r="F6" s="52" t="s">
        <v>27</v>
      </c>
      <c r="G6" s="52" t="s">
        <v>30</v>
      </c>
      <c r="H6" s="52" t="s">
        <v>27</v>
      </c>
      <c r="I6" s="52" t="s">
        <v>31</v>
      </c>
      <c r="J6" s="52" t="s">
        <v>27</v>
      </c>
    </row>
    <row r="7" spans="1:10" ht="12.75">
      <c r="A7" s="52">
        <v>1</v>
      </c>
      <c r="B7" s="58" t="str">
        <f>ORÇAMENTO!D9</f>
        <v>ADMINISTRAÇÃO LOCAL E SERVIÇOS PRELIMINARES</v>
      </c>
      <c r="C7" s="60">
        <f>ORÇAMENTO!J13</f>
        <v>30057.22</v>
      </c>
      <c r="D7" s="53">
        <f>C7/C13</f>
        <v>0.02206137281170355</v>
      </c>
      <c r="E7" s="54">
        <f>F7*$C$7</f>
        <v>15028.61</v>
      </c>
      <c r="F7" s="53">
        <v>0.5</v>
      </c>
      <c r="G7" s="54">
        <f>H7*$C$7</f>
        <v>15028.61</v>
      </c>
      <c r="H7" s="53">
        <v>0.5</v>
      </c>
      <c r="I7" s="54">
        <f>G7+E7</f>
        <v>30057.22</v>
      </c>
      <c r="J7" s="55">
        <f>I7/C7</f>
        <v>1</v>
      </c>
    </row>
    <row r="8" spans="1:10" ht="12.75">
      <c r="A8" s="52"/>
      <c r="B8" s="58"/>
      <c r="C8" s="52"/>
      <c r="D8" s="52"/>
      <c r="E8" s="54"/>
      <c r="F8" s="52"/>
      <c r="G8" s="54"/>
      <c r="H8" s="52"/>
      <c r="I8" s="54"/>
      <c r="J8" s="52"/>
    </row>
    <row r="9" spans="1:10" ht="12.75">
      <c r="A9" s="52">
        <v>2</v>
      </c>
      <c r="B9" s="58" t="str">
        <f>ORÇAMENTO!D14</f>
        <v>DRENAGEM</v>
      </c>
      <c r="C9" s="60">
        <f>ORÇAMENTO!J21</f>
        <v>373397.45</v>
      </c>
      <c r="D9" s="53">
        <f>C9/C13</f>
        <v>0.2740659432705166</v>
      </c>
      <c r="E9" s="54">
        <f>F9*$C$9</f>
        <v>186698.725</v>
      </c>
      <c r="F9" s="53">
        <v>0.5</v>
      </c>
      <c r="G9" s="54">
        <f>H9*$C$9</f>
        <v>186698.725</v>
      </c>
      <c r="H9" s="53">
        <v>0.5</v>
      </c>
      <c r="I9" s="54">
        <f>G9+E9</f>
        <v>373397.45</v>
      </c>
      <c r="J9" s="55">
        <f>I9/C9</f>
        <v>1</v>
      </c>
    </row>
    <row r="10" spans="1:10" ht="12.75">
      <c r="A10" s="52"/>
      <c r="B10" s="58"/>
      <c r="C10" s="52"/>
      <c r="D10" s="52"/>
      <c r="E10" s="54"/>
      <c r="F10" s="52"/>
      <c r="G10" s="54"/>
      <c r="H10" s="52"/>
      <c r="I10" s="54"/>
      <c r="J10" s="52"/>
    </row>
    <row r="11" spans="1:10" ht="12.75">
      <c r="A11" s="52">
        <v>3</v>
      </c>
      <c r="B11" s="58" t="str">
        <f>ORÇAMENTO!D22</f>
        <v>PAVIMENTAÇÕES E REVESTIMENTOS DAS PISTAS</v>
      </c>
      <c r="C11" s="60">
        <f>ORÇAMENTO!J26</f>
        <v>958981.8500000001</v>
      </c>
      <c r="D11" s="53">
        <f>C11/C13</f>
        <v>0.7038726839177799</v>
      </c>
      <c r="E11" s="54">
        <f>F11*$C$11</f>
        <v>479490.92500000005</v>
      </c>
      <c r="F11" s="53">
        <v>0.5</v>
      </c>
      <c r="G11" s="54">
        <f>H11*$C$11</f>
        <v>479490.92500000005</v>
      </c>
      <c r="H11" s="53">
        <v>0.5</v>
      </c>
      <c r="I11" s="54">
        <f>G11+E11</f>
        <v>958981.8500000001</v>
      </c>
      <c r="J11" s="55">
        <f>I11/C11</f>
        <v>1</v>
      </c>
    </row>
    <row r="12" spans="1:10" ht="12.75">
      <c r="A12" s="52"/>
      <c r="B12" s="58"/>
      <c r="C12" s="52"/>
      <c r="D12" s="53"/>
      <c r="E12" s="54"/>
      <c r="F12" s="52"/>
      <c r="G12" s="54"/>
      <c r="H12" s="52"/>
      <c r="I12" s="54"/>
      <c r="J12" s="55"/>
    </row>
    <row r="13" spans="1:10" ht="12.75">
      <c r="A13" s="48"/>
      <c r="B13" s="59" t="s">
        <v>32</v>
      </c>
      <c r="C13" s="61">
        <f>C11+C9+C7</f>
        <v>1362436.52</v>
      </c>
      <c r="D13" s="57">
        <f>D9+D11+D7</f>
        <v>1</v>
      </c>
      <c r="E13" s="56"/>
      <c r="F13" s="48"/>
      <c r="G13" s="56"/>
      <c r="H13" s="48"/>
      <c r="I13" s="56">
        <f>I11+I9+I7</f>
        <v>1362436.52</v>
      </c>
      <c r="J13" s="57">
        <f>I13/C13</f>
        <v>1</v>
      </c>
    </row>
    <row r="14" spans="1:10" ht="12.75">
      <c r="A14" s="52"/>
      <c r="B14" s="58" t="s">
        <v>33</v>
      </c>
      <c r="C14" s="52"/>
      <c r="D14" s="52"/>
      <c r="E14" s="54">
        <f>SUM(E7:E13)</f>
        <v>681218.26</v>
      </c>
      <c r="F14" s="53">
        <f>E14/C13</f>
        <v>0.5</v>
      </c>
      <c r="G14" s="54">
        <f>SUM(G7:G13)</f>
        <v>681218.26</v>
      </c>
      <c r="H14" s="53">
        <f>G14/C13</f>
        <v>0.5</v>
      </c>
      <c r="I14" s="52"/>
      <c r="J14" s="52"/>
    </row>
    <row r="15" spans="1:10" ht="12.75">
      <c r="A15" s="48"/>
      <c r="B15" s="59" t="s">
        <v>34</v>
      </c>
      <c r="C15" s="48"/>
      <c r="D15" s="48"/>
      <c r="E15" s="56">
        <f>E14</f>
        <v>681218.26</v>
      </c>
      <c r="F15" s="49">
        <f>F14</f>
        <v>0.5</v>
      </c>
      <c r="G15" s="56">
        <f>G14+E15</f>
        <v>1362436.52</v>
      </c>
      <c r="H15" s="49">
        <f>H14+F15</f>
        <v>1</v>
      </c>
      <c r="I15" s="48"/>
      <c r="J15" s="48"/>
    </row>
    <row r="22" spans="3:5" ht="15.75">
      <c r="C22" s="237"/>
      <c r="D22" s="237"/>
      <c r="E22" s="237"/>
    </row>
    <row r="23" spans="3:5" ht="12.75">
      <c r="C23" s="238"/>
      <c r="D23" s="238"/>
      <c r="E23" s="238"/>
    </row>
    <row r="24" spans="3:5" ht="12.75">
      <c r="C24" s="238"/>
      <c r="D24" s="238"/>
      <c r="E24" s="238"/>
    </row>
  </sheetData>
  <sheetProtection/>
  <mergeCells count="10">
    <mergeCell ref="C22:E22"/>
    <mergeCell ref="C23:E23"/>
    <mergeCell ref="C24:E24"/>
    <mergeCell ref="A1:H1"/>
    <mergeCell ref="I1:J1"/>
    <mergeCell ref="B3:E3"/>
    <mergeCell ref="A4:J4"/>
    <mergeCell ref="E5:F5"/>
    <mergeCell ref="G5:H5"/>
    <mergeCell ref="I5:J5"/>
  </mergeCells>
  <printOptions/>
  <pageMargins left="0.5118110236220472" right="0.5118110236220472" top="2.362204724409449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Ana Otilia Pamplona</cp:lastModifiedBy>
  <cp:lastPrinted>2019-08-14T11:32:16Z</cp:lastPrinted>
  <dcterms:created xsi:type="dcterms:W3CDTF">2016-02-14T22:16:02Z</dcterms:created>
  <dcterms:modified xsi:type="dcterms:W3CDTF">2019-08-14T19:09:56Z</dcterms:modified>
  <cp:category/>
  <cp:version/>
  <cp:contentType/>
  <cp:contentStatus/>
</cp:coreProperties>
</file>